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-105" yWindow="-105" windowWidth="21840" windowHeight="12570" activeTab="4"/>
  </bookViews>
  <sheets>
    <sheet name="Таблиця 1" sheetId="1" r:id="rId1"/>
    <sheet name="Таблиця 2" sheetId="2" r:id="rId2"/>
    <sheet name="Таблиця 3" sheetId="3" r:id="rId3"/>
    <sheet name="Таблиця 4" sheetId="4" r:id="rId4"/>
    <sheet name="Таблиця 5" sheetId="5" r:id="rId5"/>
  </sheets>
  <definedNames>
    <definedName name="bookmark4" localSheetId="3">'Таблиця 4'!$A$2</definedName>
    <definedName name="_xlnm.Print_Area" localSheetId="0">'Таблиця 1'!$A$1:$F$105</definedName>
    <definedName name="_xlnm.Print_Area" localSheetId="2">'Таблиця 3'!$A$1:$F$49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6" i="3" l="1"/>
  <c r="D96" i="1" l="1"/>
  <c r="F14" i="3"/>
  <c r="F25" i="2"/>
  <c r="F23" i="2"/>
  <c r="F21" i="2"/>
  <c r="F16" i="2"/>
  <c r="F15" i="2"/>
  <c r="F14" i="2"/>
  <c r="F8" i="2"/>
  <c r="C15" i="5" l="1"/>
  <c r="C13" i="5"/>
  <c r="C14" i="5"/>
  <c r="C45" i="3" l="1"/>
  <c r="D45" i="3"/>
  <c r="C44" i="3"/>
  <c r="D44" i="3"/>
  <c r="D14" i="3"/>
  <c r="E13" i="2"/>
  <c r="E14" i="2"/>
  <c r="C25" i="2"/>
  <c r="C16" i="2"/>
  <c r="D9" i="2"/>
  <c r="D13" i="2"/>
  <c r="D100" i="1" l="1"/>
  <c r="D29" i="1"/>
  <c r="E89" i="1"/>
  <c r="C54" i="1"/>
  <c r="C42" i="1"/>
  <c r="C28" i="1"/>
  <c r="D78" i="1"/>
  <c r="D34" i="1"/>
  <c r="C44" i="1"/>
  <c r="D42" i="1"/>
  <c r="D44" i="1" l="1"/>
  <c r="D32" i="1"/>
  <c r="D26" i="1"/>
  <c r="C23" i="5" l="1"/>
  <c r="C22" i="5"/>
  <c r="B14" i="5"/>
  <c r="D97" i="1"/>
  <c r="D25" i="2" l="1"/>
  <c r="D16" i="2"/>
  <c r="D27" i="3" s="1"/>
  <c r="F10" i="3"/>
  <c r="B21" i="5" l="1"/>
  <c r="C17" i="5"/>
  <c r="B17" i="5"/>
  <c r="D64" i="1" l="1"/>
  <c r="D35" i="1" s="1"/>
  <c r="D30" i="1" s="1"/>
  <c r="B15" i="5"/>
  <c r="B19" i="5" s="1"/>
  <c r="B8" i="5"/>
  <c r="D94" i="1"/>
  <c r="C18" i="5" l="1"/>
  <c r="B25" i="5" l="1"/>
  <c r="B18" i="5" l="1"/>
  <c r="B22" i="5"/>
  <c r="B26" i="5" s="1"/>
  <c r="B23" i="5"/>
  <c r="B27" i="5" s="1"/>
  <c r="C25" i="5"/>
  <c r="C19" i="5"/>
  <c r="C26" i="5" l="1"/>
  <c r="C27" i="5"/>
  <c r="F71" i="1"/>
  <c r="D75" i="1" l="1"/>
  <c r="C75" i="1"/>
  <c r="C55" i="1"/>
  <c r="C96" i="1"/>
  <c r="D55" i="1" l="1"/>
  <c r="F75" i="1"/>
  <c r="E77" i="1"/>
  <c r="C94" i="1"/>
  <c r="F77" i="1"/>
  <c r="D15" i="2"/>
  <c r="E44" i="3"/>
  <c r="F44" i="3"/>
  <c r="E10" i="3" l="1"/>
  <c r="C14" i="3"/>
  <c r="C13" i="3"/>
  <c r="D13" i="3"/>
  <c r="F13" i="3" s="1"/>
  <c r="D11" i="3"/>
  <c r="C11" i="3"/>
  <c r="D8" i="4"/>
  <c r="C8" i="4"/>
  <c r="F8" i="4"/>
  <c r="E10" i="4"/>
  <c r="E8" i="4" s="1"/>
  <c r="D27" i="5"/>
  <c r="C20" i="5"/>
  <c r="B20" i="5"/>
  <c r="D9" i="5"/>
  <c r="D10" i="5"/>
  <c r="D11" i="5"/>
  <c r="D13" i="5"/>
  <c r="D14" i="5"/>
  <c r="D15" i="5"/>
  <c r="D21" i="5"/>
  <c r="D22" i="5"/>
  <c r="D23" i="5"/>
  <c r="F11" i="3" l="1"/>
  <c r="C9" i="3"/>
  <c r="C43" i="3" s="1"/>
  <c r="E13" i="3"/>
  <c r="E11" i="3"/>
  <c r="D17" i="5"/>
  <c r="D25" i="5"/>
  <c r="D20" i="5"/>
  <c r="D26" i="5"/>
  <c r="D19" i="5"/>
  <c r="C12" i="5"/>
  <c r="B12" i="5"/>
  <c r="C8" i="5"/>
  <c r="D8" i="5" l="1"/>
  <c r="D12" i="5"/>
  <c r="D18" i="5"/>
  <c r="F26" i="1" l="1"/>
  <c r="F28" i="1"/>
  <c r="F32" i="1"/>
  <c r="F33" i="1"/>
  <c r="F34" i="1"/>
  <c r="F35" i="1"/>
  <c r="F36" i="1"/>
  <c r="F40" i="1"/>
  <c r="F41" i="1"/>
  <c r="F42" i="1"/>
  <c r="F43" i="1"/>
  <c r="F44" i="1"/>
  <c r="F49" i="1"/>
  <c r="F50" i="1"/>
  <c r="F51" i="1"/>
  <c r="F54" i="1"/>
  <c r="F56" i="1"/>
  <c r="F62" i="1"/>
  <c r="F63" i="1"/>
  <c r="F64" i="1"/>
  <c r="E26" i="1"/>
  <c r="F29" i="1"/>
  <c r="D98" i="1"/>
  <c r="D91" i="1" s="1"/>
  <c r="C98" i="1"/>
  <c r="C97" i="1"/>
  <c r="C78" i="1"/>
  <c r="C100" i="1" s="1"/>
  <c r="C30" i="1"/>
  <c r="C25" i="1"/>
  <c r="C90" i="1" s="1"/>
  <c r="E28" i="1"/>
  <c r="E32" i="1"/>
  <c r="E33" i="1"/>
  <c r="E34" i="1"/>
  <c r="E35" i="1"/>
  <c r="E36" i="1"/>
  <c r="E38" i="1"/>
  <c r="E39" i="1"/>
  <c r="E40" i="1"/>
  <c r="E41" i="1"/>
  <c r="E42" i="1"/>
  <c r="E43" i="1"/>
  <c r="E44" i="1"/>
  <c r="E47" i="1"/>
  <c r="E49" i="1"/>
  <c r="E50" i="1"/>
  <c r="E51" i="1"/>
  <c r="E54" i="1"/>
  <c r="E56" i="1"/>
  <c r="E62" i="1"/>
  <c r="E63" i="1"/>
  <c r="E64" i="1"/>
  <c r="E71" i="1"/>
  <c r="E73" i="1"/>
  <c r="E75" i="1"/>
  <c r="C27" i="3" l="1"/>
  <c r="D101" i="1"/>
  <c r="D22" i="3" s="1"/>
  <c r="D23" i="3" s="1"/>
  <c r="C91" i="1"/>
  <c r="C101" i="1"/>
  <c r="D24" i="3"/>
  <c r="D25" i="1"/>
  <c r="F100" i="1"/>
  <c r="E78" i="1"/>
  <c r="E29" i="1"/>
  <c r="D23" i="2"/>
  <c r="D21" i="2" s="1"/>
  <c r="C23" i="2"/>
  <c r="F98" i="1"/>
  <c r="E97" i="1"/>
  <c r="C24" i="3"/>
  <c r="F55" i="1"/>
  <c r="E55" i="1"/>
  <c r="F96" i="1"/>
  <c r="E30" i="1"/>
  <c r="F97" i="1"/>
  <c r="F94" i="1"/>
  <c r="F30" i="1"/>
  <c r="E96" i="1"/>
  <c r="E98" i="1"/>
  <c r="E8" i="2"/>
  <c r="C92" i="1" l="1"/>
  <c r="C22" i="3"/>
  <c r="D90" i="1"/>
  <c r="D92" i="1" s="1"/>
  <c r="D31" i="3" s="1"/>
  <c r="C15" i="2"/>
  <c r="E16" i="2"/>
  <c r="E25" i="2"/>
  <c r="E100" i="1"/>
  <c r="E25" i="1"/>
  <c r="F25" i="1"/>
  <c r="D9" i="3"/>
  <c r="D43" i="3" s="1"/>
  <c r="E14" i="3"/>
  <c r="F27" i="3"/>
  <c r="E27" i="3"/>
  <c r="C21" i="2"/>
  <c r="E23" i="2"/>
  <c r="F24" i="3"/>
  <c r="E24" i="3"/>
  <c r="E94" i="1"/>
  <c r="F101" i="1"/>
  <c r="E101" i="1"/>
  <c r="E90" i="1" l="1"/>
  <c r="F90" i="1"/>
  <c r="F9" i="3"/>
  <c r="E15" i="2"/>
  <c r="F92" i="1"/>
  <c r="E92" i="1"/>
  <c r="E91" i="1"/>
  <c r="E9" i="3"/>
  <c r="F91" i="1"/>
  <c r="E21" i="2"/>
  <c r="F45" i="3" l="1"/>
  <c r="E45" i="3"/>
  <c r="E43" i="3"/>
  <c r="F43" i="3"/>
</calcChain>
</file>

<file path=xl/sharedStrings.xml><?xml version="1.0" encoding="utf-8"?>
<sst xmlns="http://schemas.openxmlformats.org/spreadsheetml/2006/main" count="267" uniqueCount="198">
  <si>
    <t>Коди</t>
  </si>
  <si>
    <t>Підприємство</t>
  </si>
  <si>
    <t>За ЄДРПОУ</t>
  </si>
  <si>
    <t>Орган управління</t>
  </si>
  <si>
    <t>За СПОДУ</t>
  </si>
  <si>
    <t>Галузь</t>
  </si>
  <si>
    <t>За ЗКНГ</t>
  </si>
  <si>
    <t>Вид економічної діяльності</t>
  </si>
  <si>
    <t>За КВЕД</t>
  </si>
  <si>
    <t>Місцезнаходження</t>
  </si>
  <si>
    <t>За КОАТУУ</t>
  </si>
  <si>
    <t>Телефон</t>
  </si>
  <si>
    <t>Директор</t>
  </si>
  <si>
    <t>ЗВІТ ПРО ВИКОНАННЯ ФІНАНСОВОГО ПЛАНУ</t>
  </si>
  <si>
    <t>Таблиця 1</t>
  </si>
  <si>
    <t>І. Формування фінансових результатів</t>
  </si>
  <si>
    <t>Найменування показника</t>
  </si>
  <si>
    <t>Код</t>
  </si>
  <si>
    <t>рядка</t>
  </si>
  <si>
    <t>Звітний період (квартал/рік)</t>
  </si>
  <si>
    <t>план</t>
  </si>
  <si>
    <t>факт</t>
  </si>
  <si>
    <t>відхилення, +/–</t>
  </si>
  <si>
    <t>виконання, %</t>
  </si>
  <si>
    <t>Доходи і витрати (деталізація)</t>
  </si>
  <si>
    <t>Чистий дохід від реалізації продукції (товарів, робіт, послуг)</t>
  </si>
  <si>
    <t>Кошти місцевого бюджету</t>
  </si>
  <si>
    <t>Кошти обласного бюджету</t>
  </si>
  <si>
    <t>Кошти НСЗУ</t>
  </si>
  <si>
    <t>Інші доходи</t>
  </si>
  <si>
    <t>Собівартість реалізованої продукції (товарів, робіт, послуг)</t>
  </si>
  <si>
    <t>Витрати на сировину та основні матеріали</t>
  </si>
  <si>
    <t>Витрати на паливно-мастильні матеріали</t>
  </si>
  <si>
    <t>Витрати на електроенергію</t>
  </si>
  <si>
    <t>Витрати на оплату праці</t>
  </si>
  <si>
    <t>Відрахування на соціальні заходи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</si>
  <si>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</si>
  <si>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</si>
  <si>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Інші витрати (розшифрувати)</t>
  </si>
  <si>
    <t>Витрати на теплопостачання</t>
  </si>
  <si>
    <t>Витрати на водопостачання</t>
  </si>
  <si>
    <t>Витрати на газ</t>
  </si>
  <si>
    <t>Витрати на тверде паливо</t>
  </si>
  <si>
    <t>Витрати на матеріали, обладнання та інвентар</t>
  </si>
  <si>
    <t>Витрати на медикаменти та перев’язувальні матеріали</t>
  </si>
  <si>
    <t>Витрати на продукти харчування</t>
  </si>
  <si>
    <t>Витрати на виплату пенсій</t>
  </si>
  <si>
    <t>Витрати на страхування</t>
  </si>
  <si>
    <t>Плата за держ. реєстрацію джерел іонізуючого випромінювання. Екологічний податок,земельний податок</t>
  </si>
  <si>
    <t>Витрати на службові відрядження</t>
  </si>
  <si>
    <t>Витрати на навчання курси</t>
  </si>
  <si>
    <t>Витрати за вивіз сміття</t>
  </si>
  <si>
    <t>Витрати на придбання медичного обладнання</t>
  </si>
  <si>
    <t>Витрати на виготовлення технічної документації</t>
  </si>
  <si>
    <t>Оплата послуг (крім комунальних)</t>
  </si>
  <si>
    <t>Адміністративні витрати, у тому числі:</t>
  </si>
  <si>
    <t>витрати, пов’язані з використанням власних службових автомобілів</t>
  </si>
  <si>
    <t>витрати на оренду службових автомобілів</t>
  </si>
  <si>
    <t>витрати на консалтингові послуги</t>
  </si>
  <si>
    <t>витрати на страхові послуги</t>
  </si>
  <si>
    <t>витрати на аудиторські послуги</t>
  </si>
  <si>
    <t>витрати на службові відрядження</t>
  </si>
  <si>
    <t>витрати на зв'язок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</si>
  <si>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</si>
  <si>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</si>
  <si>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</si>
  <si>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</si>
  <si>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загальногосподарського персоналу</t>
  </si>
  <si>
    <t>організаційно-технічні послуги</t>
  </si>
  <si>
    <t>консультаційні та інформаційні послуги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</si>
  <si>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</si>
  <si>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</si>
  <si>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</si>
  <si>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>витрати на підвищення кваліфікації та перепідготовку кадрів</t>
  </si>
  <si>
    <t>витрати на утримання основних фондів, інших необоротних активів загальногосподарського використання, у тому числі:</t>
  </si>
  <si>
    <t>витрати на поліпшення основних фондів</t>
  </si>
  <si>
    <t>інші адміністративні витрати (розшифрувати)</t>
  </si>
  <si>
    <t>Витрати на збут, у тому числі:</t>
  </si>
  <si>
    <t>транспортні витрати</t>
  </si>
  <si>
    <t>витрати на зберігання та упаковку</t>
  </si>
  <si>
    <t>амортизація основних засобів  і нематеріальних активів</t>
  </si>
  <si>
    <t>витрати на рекламу</t>
  </si>
  <si>
    <t>інші витрати на збут (розшифрувати)</t>
  </si>
  <si>
    <t>Інші операційні доходи (розшифрувати)</t>
  </si>
  <si>
    <t>інші операційні витрати (розшифрувати)</t>
  </si>
  <si>
    <t>Усього доходів</t>
  </si>
  <si>
    <t>Усього витрат</t>
  </si>
  <si>
    <t>Нерозподілені доходи</t>
  </si>
  <si>
    <t>Елементи операційних витрат</t>
  </si>
  <si>
    <t>витрати на сировину та основні матеріали</t>
  </si>
  <si>
    <t>Амортизація</t>
  </si>
  <si>
    <t>Інші операційні витрати</t>
  </si>
  <si>
    <t>Усього</t>
  </si>
  <si>
    <t>(посада)</t>
  </si>
  <si>
    <t>(підпис)</t>
  </si>
  <si>
    <t>(прізвище, ініціали)</t>
  </si>
  <si>
    <t>Код рядка</t>
  </si>
  <si>
    <t>Таблиця 2</t>
  </si>
  <si>
    <t>II. Розрахунки з бюджетом</t>
  </si>
  <si>
    <t xml:space="preserve"> Розподіл нерозподіленого доходу</t>
  </si>
  <si>
    <t>Залишок нерозподіленого доходу на початок звітного періоду, усього, у тому числі:</t>
  </si>
  <si>
    <t>Спрямування нерозподіленого доходу, усього, у тому числі:</t>
  </si>
  <si>
    <t>Розвиток статутної діяльності</t>
  </si>
  <si>
    <t>у тому числі за основними видами діяльності за КВЕД</t>
  </si>
  <si>
    <t>Резервний фонд</t>
  </si>
  <si>
    <t>Залишок нерозподіленого доходу на кінець звітного періоду</t>
  </si>
  <si>
    <t>Сплата податків та зборів до місцевих бюджетів (податкові платежі), усього, у тому числі:</t>
  </si>
  <si>
    <t>податок на доходи фізичних осіб (18%)</t>
  </si>
  <si>
    <t>земельний податок</t>
  </si>
  <si>
    <t>орендна плата</t>
  </si>
  <si>
    <t>інші податки та збори (розшифрувати)</t>
  </si>
  <si>
    <t>Екологічний податок</t>
  </si>
  <si>
    <t>Інші податки, збори та платежі на користь держави, усього, у тому числі:</t>
  </si>
  <si>
    <t>митні платежі</t>
  </si>
  <si>
    <t>єдиний внесок на загальнообов'язкове державне соціальне страхування 22%</t>
  </si>
  <si>
    <t>інші податки, збори та платежі (розшифрувати)</t>
  </si>
  <si>
    <t>Військовий збір 1,5%</t>
  </si>
  <si>
    <t>Погашення податкового боргу, усього, у тому числі: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</si>
  <si>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</si>
  <si>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інші (штрафи, пені, неустойки) (розшифрувати)</t>
  </si>
  <si>
    <t>Таблиця З</t>
  </si>
  <si>
    <t>III. Рух грошових коштів</t>
  </si>
  <si>
    <t>І. Рух коштів у результаті операційної діяльності</t>
  </si>
  <si>
    <t>Надходження грошових коштів від операційної діяльності</t>
  </si>
  <si>
    <t>Виручка від реалізації продукції (товарів, робіт, послуг)</t>
  </si>
  <si>
    <t>Повернення податків і зборів, у тому числі:</t>
  </si>
  <si>
    <t>податку на додану вартість</t>
  </si>
  <si>
    <t>Цільове фінансування (розшифрувати)</t>
  </si>
  <si>
    <t>Надходження авансів від покупців і замовників</t>
  </si>
  <si>
    <t>Отримання коштів за короткостроковими зобов'язаннями</t>
  </si>
  <si>
    <t>Інші надходження (розшифрувати)</t>
  </si>
  <si>
    <t>Від отриманих благодійних внесків грантів та дарунків</t>
  </si>
  <si>
    <t>Видатки грошових коштів від операційної діяльності</t>
  </si>
  <si>
    <t>Розрахунки за продукцію (товари, роботи та послуги)</t>
  </si>
  <si>
    <t>Розрахунки з оплати праці</t>
  </si>
  <si>
    <t>Повернення коштів за короткостроковими зобов'язаннями</t>
  </si>
  <si>
    <t>Зобов’язання з податків, зборів та інших обов’язкових платежів, у тому числі:</t>
  </si>
  <si>
    <t>інші платежі (розшифрувати)</t>
  </si>
  <si>
    <t>Повернення коштів до бюджету</t>
  </si>
  <si>
    <t>Чистий рух коштів від операційної діяльності</t>
  </si>
  <si>
    <t>II. Рух коштів у результаті інвестиційної діяльності</t>
  </si>
  <si>
    <t>Надходження грошових коштів від інвестиційної діяльності</t>
  </si>
  <si>
    <t>Виручка від реалізації необоротних активів</t>
  </si>
  <si>
    <t>Видатки грошових коштів від інвестиційної діяльності</t>
  </si>
  <si>
    <t>Придбання (створення) основних засобів (розшифрувати)</t>
  </si>
  <si>
    <t>Придбання (створення) нематеріальних активів (розшифрувати)</t>
  </si>
  <si>
    <t>модернізація, модифікація (добудова, дообладнання, реконструкція) основних засобів</t>
  </si>
  <si>
    <t>капітальний ремонт</t>
  </si>
  <si>
    <t>Чистий рух коштів від інвестиційної діяльності</t>
  </si>
  <si>
    <t>Чистий грошовий потік</t>
  </si>
  <si>
    <t>Залишок коштів на початок періоду</t>
  </si>
  <si>
    <t>Залишок коштів на кінець періоду</t>
  </si>
  <si>
    <t>Таблиця 4</t>
  </si>
  <si>
    <t>IV. Капітальні інвестиції</t>
  </si>
  <si>
    <t>Капітальні інвестиції, усього, у тому числі: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</si>
  <si>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</si>
  <si>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</si>
  <si>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</si>
  <si>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</si>
  <si>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Таблиця 5</t>
  </si>
  <si>
    <t>V. Дані про персонал та витрати на оплату праці</t>
  </si>
  <si>
    <t>директор</t>
  </si>
  <si>
    <t>адміністративно-управлінський персонал</t>
  </si>
  <si>
    <t>працівники</t>
  </si>
  <si>
    <t>Фонд оплати праці, тис. гри, у тому числі:</t>
  </si>
  <si>
    <t>Середньомісячна заробітна плата одного працівника (грн), усього, у тому числі:</t>
  </si>
  <si>
    <t>Витрати на оплату праці, тис. грн, у тому числі:</t>
  </si>
  <si>
    <t>Середньомісячні витрати на оплату праці одного працівника (грн), усього, у тому числі:</t>
  </si>
  <si>
    <t>КНП «Малинський центр первинної медико-санітарної допомоги» ММР</t>
  </si>
  <si>
    <t>Відділ охорони здоров'я Малинської міської ради</t>
  </si>
  <si>
    <t>Загальна медична практика</t>
  </si>
  <si>
    <t>Олександр АНДРІЙЦЕВ</t>
  </si>
  <si>
    <t>КОМУНАЛЬНОГО НЕКОМЕРЦІЙНОГО ПІДПРИЄМСТВА «МАЛИНСЬКИЙ ЦЕНТР ПЕРВИННОЇ МЕДИКО-САНІТАРНОЇ ДОПОМОГИ» МАЛИНСЬКОЇ МІСЬКОЇ РАДИ</t>
  </si>
  <si>
    <t>витрати на страхування майна загальногосподарського призначення</t>
  </si>
  <si>
    <t>(ПІБ)</t>
  </si>
  <si>
    <t>(посада)                                             (підпис)</t>
  </si>
  <si>
    <t>Матеріальні витрати, у тому числі(202+206+213+214+301+1002):</t>
  </si>
  <si>
    <t>витрати на комунальні послуги(203+209-212+221)</t>
  </si>
  <si>
    <t>придбання та супровід програмного забезпечення, обсл оргтехніки</t>
  </si>
  <si>
    <t>214+цільові програми</t>
  </si>
  <si>
    <t>322+</t>
  </si>
  <si>
    <t>202+ пмм з цільових програм</t>
  </si>
  <si>
    <t>Медицина</t>
  </si>
  <si>
    <t>213+ господарчі та канцелярія та дрібне компютерне обладнання</t>
  </si>
  <si>
    <t>капітальні видатки таблиця 4</t>
  </si>
  <si>
    <t>Додаток 1</t>
  </si>
  <si>
    <t xml:space="preserve">до рішення Малинської міської ради </t>
  </si>
  <si>
    <t>Головний лікар</t>
  </si>
  <si>
    <t>Житомирська обл., Коростенський р-н, м.Малин, вул. Суворова, 83б</t>
  </si>
  <si>
    <r>
      <t xml:space="preserve">Середня кількість працівників </t>
    </r>
    <r>
      <rPr>
        <sz val="12"/>
        <rFont val="Times New Roman"/>
        <family val="1"/>
        <charset val="204"/>
      </rPr>
      <t xml:space="preserve">(штатних працівників, зовнішніх сумісників та працівників, що працюють за цивільно- правовими договорами), </t>
    </r>
    <r>
      <rPr>
        <b/>
        <sz val="12"/>
        <rFont val="Times New Roman"/>
        <family val="1"/>
        <charset val="204"/>
      </rPr>
      <t>у тому числі:</t>
    </r>
  </si>
  <si>
    <t>224+ періодичні видання, обслуговування сайтів, електронні ключі, оплата аналізів</t>
  </si>
  <si>
    <t>Інші доходи (нерозподілені доходи на початок звітного періоду)</t>
  </si>
  <si>
    <t>Інші цілі (заробітна плата)</t>
  </si>
  <si>
    <t>податок на доходи фізичних осіб(18%)</t>
  </si>
  <si>
    <t>за 2 квартал 2023 року</t>
  </si>
  <si>
    <t>Інші витрати (комп'ютерна техніка)</t>
  </si>
  <si>
    <t>48-ї сесії 8-го скликання</t>
  </si>
  <si>
    <t>від 24.11.2023 № 1055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</si>
</sst>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_(* #,##0.0_);_(* \(#,##0.0\);_(* \-_);_(@_)"/>
    <numFmt numFmtId="166" formatCode="0.0%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Calibri"/>
      <family val="2"/>
      <scheme val="minor"/>
    </font>
    <font>
      <sz val="9"/>
      <name val="Times New Roman"/>
      <family val="1"/>
      <charset val="204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9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52">
    <xf numFmtId="0" fontId="0" fillId="0" borderId="0" xfId="0"/>
    <xf numFmtId="0" fontId="1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0" fillId="2" borderId="3" xfId="0" applyFill="1" applyBorder="1" applyAlignment="1">
      <alignment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8" fillId="2" borderId="3" xfId="0" applyFont="1" applyFill="1" applyBorder="1" applyAlignment="1">
      <alignment horizontal="right" vertical="center" wrapText="1"/>
    </xf>
    <xf numFmtId="9" fontId="2" fillId="2" borderId="3" xfId="0" applyNumberFormat="1" applyFont="1" applyFill="1" applyBorder="1" applyAlignment="1">
      <alignment horizontal="right" vertical="center" wrapText="1"/>
    </xf>
    <xf numFmtId="0" fontId="10" fillId="0" borderId="0" xfId="0" applyFont="1" applyFill="1" applyAlignment="1">
      <alignment vertical="center" wrapText="1"/>
    </xf>
    <xf numFmtId="0" fontId="10" fillId="0" borderId="0" xfId="0" applyFont="1" applyFill="1"/>
    <xf numFmtId="0" fontId="10" fillId="0" borderId="12" xfId="0" applyFont="1" applyFill="1" applyBorder="1" applyAlignment="1">
      <alignment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0" fontId="10" fillId="0" borderId="15" xfId="0" applyFont="1" applyFill="1" applyBorder="1" applyAlignment="1"/>
    <xf numFmtId="0" fontId="9" fillId="0" borderId="12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 wrapText="1"/>
    </xf>
    <xf numFmtId="0" fontId="10" fillId="0" borderId="12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10" fillId="0" borderId="0" xfId="0" applyFont="1" applyFill="1" applyAlignment="1">
      <alignment horizontal="center" vertical="center"/>
    </xf>
    <xf numFmtId="0" fontId="9" fillId="0" borderId="12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right" vertical="center" wrapText="1"/>
    </xf>
    <xf numFmtId="0" fontId="11" fillId="0" borderId="12" xfId="0" applyFont="1" applyFill="1" applyBorder="1" applyAlignment="1">
      <alignment vertical="center" wrapText="1"/>
    </xf>
    <xf numFmtId="0" fontId="10" fillId="0" borderId="12" xfId="0" applyFont="1" applyFill="1" applyBorder="1" applyAlignment="1">
      <alignment horizontal="right" vertical="center" wrapText="1"/>
    </xf>
    <xf numFmtId="0" fontId="10" fillId="0" borderId="0" xfId="0" applyFont="1" applyFill="1" applyBorder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vertical="center" wrapText="1"/>
    </xf>
    <xf numFmtId="0" fontId="10" fillId="0" borderId="0" xfId="0" applyFont="1" applyFill="1" applyAlignment="1">
      <alignment horizontal="left" vertical="center" wrapText="1"/>
    </xf>
    <xf numFmtId="0" fontId="12" fillId="0" borderId="0" xfId="0" applyFont="1" applyFill="1" applyBorder="1" applyAlignment="1">
      <alignment vertical="center"/>
    </xf>
    <xf numFmtId="0" fontId="10" fillId="0" borderId="0" xfId="0" applyFont="1" applyAlignment="1">
      <alignment horizontal="left" vertical="center" wrapText="1"/>
    </xf>
    <xf numFmtId="0" fontId="10" fillId="2" borderId="12" xfId="0" applyFont="1" applyFill="1" applyBorder="1" applyAlignment="1">
      <alignment horizontal="left" vertical="center" wrapText="1"/>
    </xf>
    <xf numFmtId="0" fontId="14" fillId="0" borderId="0" xfId="0" applyFont="1" applyAlignment="1">
      <alignment horizontal="right" vertical="center"/>
    </xf>
    <xf numFmtId="0" fontId="15" fillId="0" borderId="0" xfId="0" applyFont="1"/>
    <xf numFmtId="0" fontId="14" fillId="0" borderId="0" xfId="0" applyFont="1" applyAlignment="1">
      <alignment horizontal="center" vertical="center"/>
    </xf>
    <xf numFmtId="0" fontId="9" fillId="2" borderId="12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left" vertical="center" wrapText="1"/>
    </xf>
    <xf numFmtId="2" fontId="10" fillId="2" borderId="12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164" fontId="9" fillId="2" borderId="12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/>
    </xf>
    <xf numFmtId="0" fontId="10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vertical="center"/>
    </xf>
    <xf numFmtId="0" fontId="16" fillId="0" borderId="0" xfId="0" applyFont="1" applyFill="1" applyAlignment="1">
      <alignment horizontal="center" vertical="center" wrapText="1"/>
    </xf>
    <xf numFmtId="0" fontId="16" fillId="0" borderId="0" xfId="0" applyFont="1" applyAlignment="1">
      <alignment horizontal="right" vertical="center"/>
    </xf>
    <xf numFmtId="0" fontId="17" fillId="0" borderId="0" xfId="0" applyFont="1"/>
    <xf numFmtId="0" fontId="18" fillId="2" borderId="1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vertical="center" wrapText="1"/>
    </xf>
    <xf numFmtId="0" fontId="19" fillId="2" borderId="8" xfId="0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wrapText="1"/>
    </xf>
    <xf numFmtId="0" fontId="19" fillId="2" borderId="8" xfId="0" applyFont="1" applyFill="1" applyBorder="1" applyAlignment="1">
      <alignment horizontal="left" vertical="center" wrapText="1"/>
    </xf>
    <xf numFmtId="0" fontId="18" fillId="2" borderId="3" xfId="0" applyFont="1" applyFill="1" applyBorder="1" applyAlignment="1">
      <alignment horizontal="center" vertical="center" wrapText="1"/>
    </xf>
    <xf numFmtId="0" fontId="18" fillId="2" borderId="8" xfId="0" applyFont="1" applyFill="1" applyBorder="1" applyAlignment="1">
      <alignment horizontal="left" vertical="center" wrapText="1"/>
    </xf>
    <xf numFmtId="0" fontId="20" fillId="2" borderId="8" xfId="0" applyFont="1" applyFill="1" applyBorder="1" applyAlignment="1">
      <alignment horizontal="left" vertical="center" wrapText="1"/>
    </xf>
    <xf numFmtId="0" fontId="18" fillId="2" borderId="3" xfId="0" applyFont="1" applyFill="1" applyBorder="1" applyAlignment="1">
      <alignment vertical="center" wrapText="1"/>
    </xf>
    <xf numFmtId="0" fontId="13" fillId="0" borderId="6" xfId="0" applyFont="1" applyBorder="1" applyAlignment="1">
      <alignment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 applyAlignment="1">
      <alignment horizontal="center" vertical="center" wrapText="1"/>
    </xf>
    <xf numFmtId="2" fontId="9" fillId="2" borderId="12" xfId="0" applyNumberFormat="1" applyFont="1" applyFill="1" applyBorder="1" applyAlignment="1">
      <alignment horizontal="center" vertical="center" wrapText="1"/>
    </xf>
    <xf numFmtId="0" fontId="13" fillId="0" borderId="0" xfId="0" applyFont="1" applyBorder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/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 wrapText="1"/>
    </xf>
    <xf numFmtId="0" fontId="9" fillId="0" borderId="12" xfId="0" applyFont="1" applyBorder="1" applyAlignment="1">
      <alignment vertical="center" wrapText="1"/>
    </xf>
    <xf numFmtId="0" fontId="10" fillId="0" borderId="12" xfId="0" applyFont="1" applyBorder="1" applyAlignment="1">
      <alignment vertical="center" wrapText="1"/>
    </xf>
    <xf numFmtId="0" fontId="10" fillId="0" borderId="12" xfId="0" applyFont="1" applyBorder="1" applyAlignment="1">
      <alignment horizontal="right" vertical="center" wrapText="1"/>
    </xf>
    <xf numFmtId="2" fontId="9" fillId="0" borderId="12" xfId="0" applyNumberFormat="1" applyFont="1" applyBorder="1" applyAlignment="1">
      <alignment horizontal="right" vertical="center" wrapText="1"/>
    </xf>
    <xf numFmtId="2" fontId="10" fillId="0" borderId="12" xfId="0" applyNumberFormat="1" applyFont="1" applyBorder="1" applyAlignment="1">
      <alignment horizontal="right" vertical="center" wrapText="1"/>
    </xf>
    <xf numFmtId="2" fontId="10" fillId="0" borderId="12" xfId="0" applyNumberFormat="1" applyFont="1" applyBorder="1" applyAlignment="1">
      <alignment vertical="center" wrapText="1"/>
    </xf>
    <xf numFmtId="0" fontId="10" fillId="0" borderId="0" xfId="0" applyFont="1" applyBorder="1" applyAlignment="1">
      <alignment horizontal="right" vertical="center" wrapText="1"/>
    </xf>
    <xf numFmtId="165" fontId="10" fillId="0" borderId="18" xfId="0" applyNumberFormat="1" applyFont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164" fontId="10" fillId="0" borderId="12" xfId="0" applyNumberFormat="1" applyFont="1" applyFill="1" applyBorder="1" applyAlignment="1">
      <alignment vertical="center" wrapText="1"/>
    </xf>
    <xf numFmtId="2" fontId="9" fillId="0" borderId="12" xfId="0" applyNumberFormat="1" applyFont="1" applyBorder="1" applyAlignment="1">
      <alignment vertical="center" wrapText="1"/>
    </xf>
    <xf numFmtId="2" fontId="18" fillId="2" borderId="3" xfId="0" applyNumberFormat="1" applyFont="1" applyFill="1" applyBorder="1" applyAlignment="1">
      <alignment horizontal="center" vertical="center" wrapText="1"/>
    </xf>
    <xf numFmtId="2" fontId="22" fillId="2" borderId="12" xfId="0" applyNumberFormat="1" applyFont="1" applyFill="1" applyBorder="1" applyAlignment="1">
      <alignment horizontal="center" vertical="center" wrapText="1"/>
    </xf>
    <xf numFmtId="166" fontId="9" fillId="0" borderId="12" xfId="0" applyNumberFormat="1" applyFont="1" applyFill="1" applyBorder="1" applyAlignment="1">
      <alignment horizontal="right" vertical="center" wrapText="1"/>
    </xf>
    <xf numFmtId="166" fontId="10" fillId="0" borderId="12" xfId="0" applyNumberFormat="1" applyFont="1" applyFill="1" applyBorder="1" applyAlignment="1">
      <alignment horizontal="right" vertical="center" wrapText="1"/>
    </xf>
    <xf numFmtId="166" fontId="10" fillId="0" borderId="12" xfId="0" applyNumberFormat="1" applyFont="1" applyBorder="1" applyAlignment="1">
      <alignment horizontal="right" vertical="center" wrapText="1"/>
    </xf>
    <xf numFmtId="166" fontId="9" fillId="0" borderId="12" xfId="0" applyNumberFormat="1" applyFont="1" applyBorder="1" applyAlignment="1">
      <alignment horizontal="right" vertical="center" wrapText="1"/>
    </xf>
    <xf numFmtId="166" fontId="18" fillId="2" borderId="3" xfId="0" applyNumberFormat="1" applyFont="1" applyFill="1" applyBorder="1" applyAlignment="1">
      <alignment horizontal="center" vertical="center" wrapText="1"/>
    </xf>
    <xf numFmtId="166" fontId="18" fillId="2" borderId="3" xfId="0" applyNumberFormat="1" applyFont="1" applyFill="1" applyBorder="1" applyAlignment="1">
      <alignment vertical="center" wrapText="1"/>
    </xf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/>
    </xf>
    <xf numFmtId="0" fontId="9" fillId="0" borderId="17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/>
    </xf>
    <xf numFmtId="0" fontId="10" fillId="0" borderId="17" xfId="0" applyFont="1" applyFill="1" applyBorder="1" applyAlignment="1">
      <alignment horizontal="center"/>
    </xf>
    <xf numFmtId="0" fontId="10" fillId="0" borderId="15" xfId="0" applyFont="1" applyFill="1" applyBorder="1" applyAlignment="1">
      <alignment horizontal="left" vertical="center" wrapText="1"/>
    </xf>
    <xf numFmtId="0" fontId="10" fillId="0" borderId="16" xfId="0" applyFont="1" applyFill="1" applyBorder="1" applyAlignment="1">
      <alignment horizontal="left" vertical="center" wrapText="1"/>
    </xf>
    <xf numFmtId="0" fontId="10" fillId="0" borderId="17" xfId="0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horizontal="left" vertical="center"/>
    </xf>
    <xf numFmtId="0" fontId="9" fillId="0" borderId="16" xfId="0" applyFont="1" applyFill="1" applyBorder="1" applyAlignment="1">
      <alignment horizontal="left" vertical="center"/>
    </xf>
    <xf numFmtId="0" fontId="9" fillId="0" borderId="17" xfId="0" applyFont="1" applyFill="1" applyBorder="1" applyAlignment="1">
      <alignment horizontal="left" vertical="center"/>
    </xf>
    <xf numFmtId="0" fontId="10" fillId="0" borderId="5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9" fillId="2" borderId="9" xfId="0" applyFont="1" applyFill="1" applyBorder="1" applyAlignment="1">
      <alignment horizontal="center" vertical="center" wrapText="1"/>
    </xf>
    <xf numFmtId="0" fontId="19" fillId="2" borderId="7" xfId="0" applyFont="1" applyFill="1" applyBorder="1" applyAlignment="1">
      <alignment horizontal="center" vertical="center" wrapText="1"/>
    </xf>
    <xf numFmtId="0" fontId="19" fillId="2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18" fillId="2" borderId="10" xfId="0" applyFont="1" applyFill="1" applyBorder="1" applyAlignment="1">
      <alignment horizontal="center" vertical="center" wrapText="1"/>
    </xf>
    <xf numFmtId="0" fontId="18" fillId="2" borderId="11" xfId="0" applyFont="1" applyFill="1" applyBorder="1" applyAlignment="1">
      <alignment horizontal="center" vertical="center" wrapText="1"/>
    </xf>
    <xf numFmtId="0" fontId="18" fillId="2" borderId="8" xfId="0" applyFont="1" applyFill="1" applyBorder="1" applyAlignment="1">
      <alignment horizontal="center" vertical="center" wrapText="1"/>
    </xf>
    <xf numFmtId="0" fontId="18" fillId="2" borderId="9" xfId="0" applyFont="1" applyFill="1" applyBorder="1" applyAlignment="1">
      <alignment horizontal="center" vertical="center" wrapText="1"/>
    </xf>
    <xf numFmtId="0" fontId="18" fillId="2" borderId="7" xfId="0" applyFont="1" applyFill="1" applyBorder="1" applyAlignment="1">
      <alignment horizontal="center" vertical="center" wrapText="1"/>
    </xf>
    <xf numFmtId="0" fontId="18" fillId="2" borderId="4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right" vertical="center"/>
    </xf>
    <xf numFmtId="0" fontId="10" fillId="0" borderId="0" xfId="0" applyFont="1" applyFill="1" applyBorder="1" applyAlignment="1">
      <alignment horizontal="right"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5"/>
  <sheetViews>
    <sheetView view="pageBreakPreview" topLeftCell="A16" zoomScaleNormal="100" zoomScaleSheetLayoutView="100" workbookViewId="0">
      <selection activeCell="E1" sqref="B1:F4"/>
    </sheetView>
  </sheetViews>
  <sheetFormatPr defaultColWidth="8.85546875" defaultRowHeight="15.75" x14ac:dyDescent="0.25"/>
  <cols>
    <col min="1" max="1" width="44.42578125" style="22" customWidth="1"/>
    <col min="2" max="2" width="8.28515625" style="25" customWidth="1"/>
    <col min="3" max="3" width="9.28515625" style="22" customWidth="1"/>
    <col min="4" max="4" width="10.5703125" style="22" customWidth="1"/>
    <col min="5" max="5" width="13.28515625" style="22" customWidth="1"/>
    <col min="6" max="6" width="13.7109375" style="22" customWidth="1"/>
    <col min="7" max="16384" width="8.85546875" style="22"/>
  </cols>
  <sheetData>
    <row r="1" spans="1:11" s="41" customFormat="1" ht="20.25" x14ac:dyDescent="0.25">
      <c r="B1" s="148"/>
      <c r="C1" s="148"/>
      <c r="D1" s="149"/>
      <c r="E1" s="149"/>
      <c r="F1" s="150" t="s">
        <v>185</v>
      </c>
    </row>
    <row r="2" spans="1:11" s="41" customFormat="1" ht="18" customHeight="1" x14ac:dyDescent="0.25">
      <c r="B2" s="151" t="s">
        <v>186</v>
      </c>
      <c r="C2" s="151"/>
      <c r="D2" s="151"/>
      <c r="E2" s="151"/>
      <c r="F2" s="151"/>
    </row>
    <row r="3" spans="1:11" s="41" customFormat="1" ht="18.600000000000001" customHeight="1" x14ac:dyDescent="0.25">
      <c r="B3" s="151" t="s">
        <v>196</v>
      </c>
      <c r="C3" s="151"/>
      <c r="D3" s="151"/>
      <c r="E3" s="151"/>
      <c r="F3" s="151"/>
    </row>
    <row r="4" spans="1:11" s="41" customFormat="1" ht="20.25" x14ac:dyDescent="0.25">
      <c r="B4" s="148"/>
      <c r="C4" s="151" t="s">
        <v>197</v>
      </c>
      <c r="D4" s="151"/>
      <c r="E4" s="151"/>
      <c r="F4" s="151"/>
    </row>
    <row r="5" spans="1:11" x14ac:dyDescent="0.25">
      <c r="B5" s="22"/>
    </row>
    <row r="6" spans="1:11" x14ac:dyDescent="0.25">
      <c r="A6" s="26"/>
      <c r="B6" s="106"/>
      <c r="C6" s="106"/>
      <c r="D6" s="107"/>
      <c r="E6" s="104" t="s">
        <v>0</v>
      </c>
      <c r="F6" s="105"/>
      <c r="G6" s="55"/>
    </row>
    <row r="7" spans="1:11" ht="67.150000000000006" customHeight="1" x14ac:dyDescent="0.25">
      <c r="A7" s="27" t="s">
        <v>1</v>
      </c>
      <c r="B7" s="108" t="s">
        <v>168</v>
      </c>
      <c r="C7" s="109"/>
      <c r="D7" s="110"/>
      <c r="E7" s="27" t="s">
        <v>2</v>
      </c>
      <c r="F7" s="28">
        <v>38395183</v>
      </c>
    </row>
    <row r="8" spans="1:11" ht="42.6" customHeight="1" x14ac:dyDescent="0.25">
      <c r="A8" s="27" t="s">
        <v>3</v>
      </c>
      <c r="B8" s="108" t="s">
        <v>169</v>
      </c>
      <c r="C8" s="109"/>
      <c r="D8" s="110"/>
      <c r="E8" s="27" t="s">
        <v>4</v>
      </c>
      <c r="F8" s="27"/>
    </row>
    <row r="9" spans="1:11" ht="15.6" customHeight="1" x14ac:dyDescent="0.25">
      <c r="A9" s="27" t="s">
        <v>5</v>
      </c>
      <c r="B9" s="108" t="s">
        <v>182</v>
      </c>
      <c r="C9" s="109"/>
      <c r="D9" s="110"/>
      <c r="E9" s="27" t="s">
        <v>6</v>
      </c>
      <c r="F9" s="29"/>
    </row>
    <row r="10" spans="1:11" ht="34.9" customHeight="1" x14ac:dyDescent="0.25">
      <c r="A10" s="28" t="s">
        <v>7</v>
      </c>
      <c r="B10" s="108" t="s">
        <v>170</v>
      </c>
      <c r="C10" s="109"/>
      <c r="D10" s="110"/>
      <c r="E10" s="27" t="s">
        <v>8</v>
      </c>
      <c r="F10" s="29"/>
      <c r="K10" s="25"/>
    </row>
    <row r="11" spans="1:11" ht="61.9" customHeight="1" x14ac:dyDescent="0.25">
      <c r="A11" s="27" t="s">
        <v>9</v>
      </c>
      <c r="B11" s="108" t="s">
        <v>188</v>
      </c>
      <c r="C11" s="109"/>
      <c r="D11" s="110"/>
      <c r="E11" s="27" t="s">
        <v>10</v>
      </c>
      <c r="F11" s="23"/>
    </row>
    <row r="12" spans="1:11" ht="19.149999999999999" customHeight="1" x14ac:dyDescent="0.25">
      <c r="A12" s="27" t="s">
        <v>11</v>
      </c>
      <c r="B12" s="111"/>
      <c r="C12" s="112"/>
      <c r="D12" s="113"/>
      <c r="E12" s="26"/>
      <c r="F12" s="29"/>
    </row>
    <row r="13" spans="1:11" ht="18.600000000000001" customHeight="1" x14ac:dyDescent="0.25">
      <c r="A13" s="28" t="s">
        <v>12</v>
      </c>
      <c r="B13" s="108" t="s">
        <v>171</v>
      </c>
      <c r="C13" s="109"/>
      <c r="D13" s="110"/>
      <c r="E13" s="26"/>
      <c r="F13" s="29"/>
    </row>
    <row r="14" spans="1:11" x14ac:dyDescent="0.25">
      <c r="A14" s="30"/>
      <c r="G14" s="53"/>
    </row>
    <row r="15" spans="1:11" x14ac:dyDescent="0.25">
      <c r="A15" s="102" t="s">
        <v>13</v>
      </c>
      <c r="B15" s="102"/>
      <c r="C15" s="102"/>
      <c r="D15" s="102"/>
      <c r="E15" s="102"/>
      <c r="F15" s="102"/>
      <c r="G15" s="56"/>
    </row>
    <row r="16" spans="1:11" ht="36" customHeight="1" x14ac:dyDescent="0.25">
      <c r="A16" s="103" t="s">
        <v>172</v>
      </c>
      <c r="B16" s="103"/>
      <c r="C16" s="103"/>
      <c r="D16" s="103"/>
      <c r="E16" s="103"/>
      <c r="F16" s="103"/>
      <c r="G16" s="21"/>
    </row>
    <row r="17" spans="1:9" x14ac:dyDescent="0.25">
      <c r="A17" s="102" t="s">
        <v>194</v>
      </c>
      <c r="B17" s="102"/>
      <c r="C17" s="102"/>
      <c r="D17" s="102"/>
      <c r="E17" s="102"/>
      <c r="F17" s="102"/>
      <c r="G17" s="21"/>
    </row>
    <row r="18" spans="1:9" x14ac:dyDescent="0.25">
      <c r="A18" s="31"/>
      <c r="F18" s="31" t="s">
        <v>14</v>
      </c>
      <c r="G18" s="21"/>
    </row>
    <row r="19" spans="1:9" x14ac:dyDescent="0.25">
      <c r="A19" s="102" t="s">
        <v>15</v>
      </c>
      <c r="B19" s="102"/>
      <c r="C19" s="102"/>
      <c r="D19" s="102"/>
      <c r="E19" s="102"/>
      <c r="F19" s="102"/>
      <c r="G19" s="21"/>
    </row>
    <row r="20" spans="1:9" x14ac:dyDescent="0.25">
      <c r="G20" s="21"/>
    </row>
    <row r="21" spans="1:9" s="25" customFormat="1" ht="15" customHeight="1" x14ac:dyDescent="0.25">
      <c r="A21" s="117" t="s">
        <v>16</v>
      </c>
      <c r="B21" s="117" t="s">
        <v>96</v>
      </c>
      <c r="C21" s="119" t="s">
        <v>19</v>
      </c>
      <c r="D21" s="120"/>
      <c r="E21" s="120"/>
      <c r="F21" s="121"/>
      <c r="G21" s="21"/>
    </row>
    <row r="22" spans="1:9" s="25" customFormat="1" ht="36" customHeight="1" x14ac:dyDescent="0.25">
      <c r="A22" s="118"/>
      <c r="B22" s="118"/>
      <c r="C22" s="24" t="s">
        <v>20</v>
      </c>
      <c r="D22" s="24" t="s">
        <v>21</v>
      </c>
      <c r="E22" s="24" t="s">
        <v>22</v>
      </c>
      <c r="F22" s="24" t="s">
        <v>23</v>
      </c>
      <c r="G22" s="21"/>
    </row>
    <row r="23" spans="1:9" s="25" customFormat="1" x14ac:dyDescent="0.25">
      <c r="A23" s="24">
        <v>1</v>
      </c>
      <c r="B23" s="24">
        <v>2</v>
      </c>
      <c r="C23" s="24">
        <v>3</v>
      </c>
      <c r="D23" s="24">
        <v>4</v>
      </c>
      <c r="E23" s="24">
        <v>5</v>
      </c>
      <c r="F23" s="24">
        <v>6</v>
      </c>
      <c r="G23" s="21"/>
    </row>
    <row r="24" spans="1:9" x14ac:dyDescent="0.25">
      <c r="A24" s="28" t="s">
        <v>24</v>
      </c>
      <c r="B24" s="24"/>
      <c r="C24" s="23"/>
      <c r="D24" s="23"/>
      <c r="E24" s="23"/>
      <c r="F24" s="23"/>
      <c r="G24" s="21"/>
    </row>
    <row r="25" spans="1:9" ht="30.6" customHeight="1" x14ac:dyDescent="0.25">
      <c r="A25" s="28" t="s">
        <v>25</v>
      </c>
      <c r="B25" s="32">
        <v>100</v>
      </c>
      <c r="C25" s="28">
        <f>SUM(C26:C29)</f>
        <v>6223.9</v>
      </c>
      <c r="D25" s="28">
        <f>SUM(D26:D29)</f>
        <v>6253.1</v>
      </c>
      <c r="E25" s="33">
        <f>D25-C25</f>
        <v>29.200000000000728</v>
      </c>
      <c r="F25" s="96">
        <f>D25/C25</f>
        <v>1.004691592088562</v>
      </c>
      <c r="G25" s="21"/>
    </row>
    <row r="26" spans="1:9" x14ac:dyDescent="0.25">
      <c r="A26" s="34" t="s">
        <v>26</v>
      </c>
      <c r="B26" s="24">
        <v>101</v>
      </c>
      <c r="C26" s="23">
        <v>827.4</v>
      </c>
      <c r="D26" s="23">
        <f>539.4+114.3</f>
        <v>653.69999999999993</v>
      </c>
      <c r="E26" s="35">
        <f t="shared" ref="E26:E78" si="0">D26-C26</f>
        <v>-173.70000000000005</v>
      </c>
      <c r="F26" s="97">
        <f t="shared" ref="F26:F71" si="1">D26/C26</f>
        <v>0.79006526468455396</v>
      </c>
      <c r="G26" s="21"/>
    </row>
    <row r="27" spans="1:9" x14ac:dyDescent="0.25">
      <c r="A27" s="34" t="s">
        <v>27</v>
      </c>
      <c r="B27" s="24">
        <v>102</v>
      </c>
      <c r="C27" s="23"/>
      <c r="D27" s="23"/>
      <c r="E27" s="35"/>
      <c r="F27" s="97"/>
      <c r="G27" s="21"/>
    </row>
    <row r="28" spans="1:9" x14ac:dyDescent="0.25">
      <c r="A28" s="34" t="s">
        <v>28</v>
      </c>
      <c r="B28" s="24">
        <v>103</v>
      </c>
      <c r="C28" s="23">
        <f>5396.5-C29</f>
        <v>5356</v>
      </c>
      <c r="D28" s="23">
        <v>5048.1000000000004</v>
      </c>
      <c r="E28" s="35">
        <f t="shared" si="0"/>
        <v>-307.89999999999964</v>
      </c>
      <c r="F28" s="97">
        <f t="shared" si="1"/>
        <v>0.94251306945481705</v>
      </c>
      <c r="G28" s="21"/>
    </row>
    <row r="29" spans="1:9" x14ac:dyDescent="0.25">
      <c r="A29" s="34" t="s">
        <v>29</v>
      </c>
      <c r="B29" s="24">
        <v>104</v>
      </c>
      <c r="C29" s="23">
        <v>40.5</v>
      </c>
      <c r="D29" s="23">
        <f>549.7+1.6</f>
        <v>551.30000000000007</v>
      </c>
      <c r="E29" s="35">
        <f>D29-C29</f>
        <v>510.80000000000007</v>
      </c>
      <c r="F29" s="97">
        <f t="shared" si="1"/>
        <v>13.612345679012348</v>
      </c>
      <c r="G29" s="21"/>
    </row>
    <row r="30" spans="1:9" ht="29.45" customHeight="1" x14ac:dyDescent="0.25">
      <c r="A30" s="28" t="s">
        <v>30</v>
      </c>
      <c r="B30" s="32">
        <v>200</v>
      </c>
      <c r="C30" s="28">
        <f>SUM(C31:C54)</f>
        <v>4651.9999999999991</v>
      </c>
      <c r="D30" s="28">
        <f>SUM(D31:D54)</f>
        <v>5045.5199999999995</v>
      </c>
      <c r="E30" s="33">
        <f t="shared" si="0"/>
        <v>393.52000000000044</v>
      </c>
      <c r="F30" s="96">
        <f t="shared" si="1"/>
        <v>1.084591573516767</v>
      </c>
      <c r="G30" s="21"/>
    </row>
    <row r="31" spans="1:9" ht="22.15" customHeight="1" x14ac:dyDescent="0.25">
      <c r="A31" s="23" t="s">
        <v>31</v>
      </c>
      <c r="B31" s="24">
        <v>201</v>
      </c>
      <c r="C31" s="23"/>
      <c r="D31" s="23"/>
      <c r="E31" s="35"/>
      <c r="F31" s="97"/>
      <c r="G31" s="21"/>
    </row>
    <row r="32" spans="1:9" ht="15" customHeight="1" x14ac:dyDescent="0.25">
      <c r="A32" s="23" t="s">
        <v>32</v>
      </c>
      <c r="B32" s="24">
        <v>202</v>
      </c>
      <c r="C32" s="23">
        <v>70</v>
      </c>
      <c r="D32" s="23">
        <f>66.2</f>
        <v>66.2</v>
      </c>
      <c r="E32" s="35">
        <f t="shared" si="0"/>
        <v>-3.7999999999999972</v>
      </c>
      <c r="F32" s="97">
        <f t="shared" si="1"/>
        <v>0.94571428571428573</v>
      </c>
      <c r="G32" s="21"/>
      <c r="I32" s="22" t="s">
        <v>181</v>
      </c>
    </row>
    <row r="33" spans="1:9" x14ac:dyDescent="0.25">
      <c r="A33" s="23" t="s">
        <v>33</v>
      </c>
      <c r="B33" s="24">
        <v>203</v>
      </c>
      <c r="C33" s="23">
        <v>126.2</v>
      </c>
      <c r="D33" s="23">
        <v>81.400000000000006</v>
      </c>
      <c r="E33" s="35">
        <f t="shared" si="0"/>
        <v>-44.8</v>
      </c>
      <c r="F33" s="97">
        <f t="shared" si="1"/>
        <v>0.6450079239302694</v>
      </c>
      <c r="G33" s="21"/>
    </row>
    <row r="34" spans="1:9" x14ac:dyDescent="0.25">
      <c r="A34" s="23" t="s">
        <v>34</v>
      </c>
      <c r="B34" s="24">
        <v>204</v>
      </c>
      <c r="C34" s="23">
        <v>3122.9</v>
      </c>
      <c r="D34" s="23">
        <f>4367.6-D63</f>
        <v>3494.2000000000003</v>
      </c>
      <c r="E34" s="35">
        <f t="shared" si="0"/>
        <v>371.30000000000018</v>
      </c>
      <c r="F34" s="97">
        <f t="shared" si="1"/>
        <v>1.1188958980434853</v>
      </c>
      <c r="G34" s="21"/>
    </row>
    <row r="35" spans="1:9" x14ac:dyDescent="0.25">
      <c r="A35" s="23" t="s">
        <v>35</v>
      </c>
      <c r="B35" s="24">
        <v>205</v>
      </c>
      <c r="C35" s="23">
        <v>687</v>
      </c>
      <c r="D35" s="23">
        <f>889.9-D64</f>
        <v>715.22</v>
      </c>
      <c r="E35" s="35">
        <f t="shared" si="0"/>
        <v>28.220000000000027</v>
      </c>
      <c r="F35" s="97">
        <f t="shared" si="1"/>
        <v>1.0410771470160116</v>
      </c>
      <c r="G35" s="21"/>
    </row>
    <row r="36" spans="1:9" ht="66" customHeight="1" x14ac:dyDescent="0.25">
      <c r="A36" s="23" t="s">
        <v>36</v>
      </c>
      <c r="B36" s="24">
        <v>206</v>
      </c>
      <c r="C36" s="23">
        <v>6</v>
      </c>
      <c r="D36" s="23">
        <v>2.2000000000000002</v>
      </c>
      <c r="E36" s="35">
        <f t="shared" si="0"/>
        <v>-3.8</v>
      </c>
      <c r="F36" s="97">
        <f t="shared" si="1"/>
        <v>0.3666666666666667</v>
      </c>
      <c r="G36" s="21"/>
    </row>
    <row r="37" spans="1:9" ht="33" customHeight="1" x14ac:dyDescent="0.25">
      <c r="A37" s="23" t="s">
        <v>37</v>
      </c>
      <c r="B37" s="24">
        <v>207</v>
      </c>
      <c r="C37" s="23"/>
      <c r="D37" s="23"/>
      <c r="E37" s="35"/>
      <c r="F37" s="97"/>
      <c r="G37" s="21"/>
    </row>
    <row r="38" spans="1:9" x14ac:dyDescent="0.25">
      <c r="A38" s="23" t="s">
        <v>38</v>
      </c>
      <c r="B38" s="24">
        <v>208</v>
      </c>
      <c r="C38" s="23">
        <v>0</v>
      </c>
      <c r="D38" s="23">
        <v>0</v>
      </c>
      <c r="E38" s="35">
        <f t="shared" si="0"/>
        <v>0</v>
      </c>
      <c r="F38" s="97"/>
      <c r="G38" s="21"/>
    </row>
    <row r="39" spans="1:9" x14ac:dyDescent="0.25">
      <c r="A39" s="23" t="s">
        <v>39</v>
      </c>
      <c r="B39" s="24">
        <v>209</v>
      </c>
      <c r="C39" s="23">
        <v>0</v>
      </c>
      <c r="D39" s="23">
        <v>96.5</v>
      </c>
      <c r="E39" s="35">
        <f t="shared" si="0"/>
        <v>96.5</v>
      </c>
      <c r="F39" s="97"/>
      <c r="G39" s="21"/>
    </row>
    <row r="40" spans="1:9" x14ac:dyDescent="0.25">
      <c r="A40" s="23" t="s">
        <v>40</v>
      </c>
      <c r="B40" s="24">
        <v>210</v>
      </c>
      <c r="C40" s="23">
        <v>60.2</v>
      </c>
      <c r="D40" s="23">
        <v>14.7</v>
      </c>
      <c r="E40" s="35">
        <f t="shared" si="0"/>
        <v>-45.5</v>
      </c>
      <c r="F40" s="97">
        <f t="shared" si="1"/>
        <v>0.2441860465116279</v>
      </c>
      <c r="G40" s="21"/>
    </row>
    <row r="41" spans="1:9" x14ac:dyDescent="0.25">
      <c r="A41" s="23" t="s">
        <v>41</v>
      </c>
      <c r="B41" s="24">
        <v>211</v>
      </c>
      <c r="C41" s="23">
        <v>11.1</v>
      </c>
      <c r="D41" s="23">
        <v>3.4</v>
      </c>
      <c r="E41" s="35">
        <f t="shared" si="0"/>
        <v>-7.6999999999999993</v>
      </c>
      <c r="F41" s="97">
        <f t="shared" si="1"/>
        <v>0.30630630630630629</v>
      </c>
      <c r="G41" s="21"/>
    </row>
    <row r="42" spans="1:9" x14ac:dyDescent="0.25">
      <c r="A42" s="23" t="s">
        <v>42</v>
      </c>
      <c r="B42" s="24">
        <v>212</v>
      </c>
      <c r="C42" s="23">
        <f>162</f>
        <v>162</v>
      </c>
      <c r="D42" s="23">
        <f>343.4-1.2</f>
        <v>342.2</v>
      </c>
      <c r="E42" s="35">
        <f t="shared" si="0"/>
        <v>180.2</v>
      </c>
      <c r="F42" s="97">
        <f t="shared" si="1"/>
        <v>2.1123456790123458</v>
      </c>
      <c r="G42" s="21"/>
    </row>
    <row r="43" spans="1:9" ht="30" customHeight="1" x14ac:dyDescent="0.25">
      <c r="A43" s="23" t="s">
        <v>43</v>
      </c>
      <c r="B43" s="24">
        <v>213</v>
      </c>
      <c r="C43" s="23">
        <v>50</v>
      </c>
      <c r="D43" s="23">
        <v>86</v>
      </c>
      <c r="E43" s="35">
        <f t="shared" si="0"/>
        <v>36</v>
      </c>
      <c r="F43" s="97">
        <f t="shared" si="1"/>
        <v>1.72</v>
      </c>
      <c r="I43" s="57" t="s">
        <v>183</v>
      </c>
    </row>
    <row r="44" spans="1:9" ht="33.6" customHeight="1" x14ac:dyDescent="0.25">
      <c r="A44" s="23" t="s">
        <v>44</v>
      </c>
      <c r="B44" s="24">
        <v>214</v>
      </c>
      <c r="C44" s="23">
        <f>35+270</f>
        <v>305</v>
      </c>
      <c r="D44" s="23">
        <f>48.1+55.2</f>
        <v>103.30000000000001</v>
      </c>
      <c r="E44" s="35">
        <f t="shared" si="0"/>
        <v>-201.7</v>
      </c>
      <c r="F44" s="97">
        <f t="shared" si="1"/>
        <v>0.33868852459016396</v>
      </c>
      <c r="I44" s="22" t="s">
        <v>179</v>
      </c>
    </row>
    <row r="45" spans="1:9" x14ac:dyDescent="0.25">
      <c r="A45" s="23" t="s">
        <v>45</v>
      </c>
      <c r="B45" s="24">
        <v>215</v>
      </c>
      <c r="C45" s="23"/>
      <c r="D45" s="23"/>
      <c r="E45" s="35"/>
      <c r="F45" s="97"/>
    </row>
    <row r="46" spans="1:9" x14ac:dyDescent="0.25">
      <c r="A46" s="23" t="s">
        <v>46</v>
      </c>
      <c r="B46" s="24">
        <v>216</v>
      </c>
      <c r="C46" s="23"/>
      <c r="D46" s="23"/>
      <c r="E46" s="35"/>
      <c r="F46" s="97"/>
    </row>
    <row r="47" spans="1:9" x14ac:dyDescent="0.25">
      <c r="A47" s="23" t="s">
        <v>47</v>
      </c>
      <c r="B47" s="24">
        <v>217</v>
      </c>
      <c r="C47" s="23">
        <v>0</v>
      </c>
      <c r="D47" s="23">
        <v>0.6</v>
      </c>
      <c r="E47" s="35">
        <f t="shared" si="0"/>
        <v>0.6</v>
      </c>
      <c r="F47" s="97"/>
    </row>
    <row r="48" spans="1:9" ht="46.9" customHeight="1" x14ac:dyDescent="0.25">
      <c r="A48" s="23" t="s">
        <v>48</v>
      </c>
      <c r="B48" s="24">
        <v>218</v>
      </c>
      <c r="C48" s="23"/>
      <c r="D48" s="23"/>
      <c r="E48" s="35"/>
      <c r="F48" s="97"/>
    </row>
    <row r="49" spans="1:9" x14ac:dyDescent="0.25">
      <c r="A49" s="23" t="s">
        <v>49</v>
      </c>
      <c r="B49" s="24">
        <v>219</v>
      </c>
      <c r="C49" s="23">
        <v>4</v>
      </c>
      <c r="D49" s="23">
        <v>7.8</v>
      </c>
      <c r="E49" s="35">
        <f t="shared" si="0"/>
        <v>3.8</v>
      </c>
      <c r="F49" s="97">
        <f t="shared" si="1"/>
        <v>1.95</v>
      </c>
    </row>
    <row r="50" spans="1:9" x14ac:dyDescent="0.25">
      <c r="A50" s="23" t="s">
        <v>50</v>
      </c>
      <c r="B50" s="24">
        <v>220</v>
      </c>
      <c r="C50" s="23">
        <v>9.5</v>
      </c>
      <c r="D50" s="23">
        <v>9.4</v>
      </c>
      <c r="E50" s="35">
        <f t="shared" si="0"/>
        <v>-9.9999999999999645E-2</v>
      </c>
      <c r="F50" s="97">
        <f t="shared" si="1"/>
        <v>0.98947368421052639</v>
      </c>
    </row>
    <row r="51" spans="1:9" x14ac:dyDescent="0.25">
      <c r="A51" s="23" t="s">
        <v>51</v>
      </c>
      <c r="B51" s="24">
        <v>221</v>
      </c>
      <c r="C51" s="23">
        <v>1.2</v>
      </c>
      <c r="D51" s="23">
        <v>1.2</v>
      </c>
      <c r="E51" s="35">
        <f t="shared" si="0"/>
        <v>0</v>
      </c>
      <c r="F51" s="97">
        <f t="shared" si="1"/>
        <v>1</v>
      </c>
    </row>
    <row r="52" spans="1:9" ht="30.6" customHeight="1" x14ac:dyDescent="0.25">
      <c r="A52" s="23" t="s">
        <v>52</v>
      </c>
      <c r="B52" s="24">
        <v>222</v>
      </c>
      <c r="C52" s="23"/>
      <c r="D52" s="23"/>
      <c r="E52" s="35"/>
      <c r="F52" s="97"/>
    </row>
    <row r="53" spans="1:9" ht="30.6" customHeight="1" x14ac:dyDescent="0.25">
      <c r="A53" s="23" t="s">
        <v>53</v>
      </c>
      <c r="B53" s="24">
        <v>223</v>
      </c>
      <c r="C53" s="23"/>
      <c r="D53" s="23"/>
      <c r="E53" s="35"/>
      <c r="F53" s="97"/>
    </row>
    <row r="54" spans="1:9" ht="18.600000000000001" customHeight="1" x14ac:dyDescent="0.25">
      <c r="A54" s="23" t="s">
        <v>54</v>
      </c>
      <c r="B54" s="24">
        <v>224</v>
      </c>
      <c r="C54" s="23">
        <f>46-9.5+0.4</f>
        <v>36.9</v>
      </c>
      <c r="D54" s="23">
        <v>21.2</v>
      </c>
      <c r="E54" s="35">
        <f t="shared" si="0"/>
        <v>-15.7</v>
      </c>
      <c r="F54" s="97">
        <f t="shared" si="1"/>
        <v>0.57452574525745259</v>
      </c>
      <c r="I54" s="22" t="s">
        <v>190</v>
      </c>
    </row>
    <row r="55" spans="1:9" ht="15" customHeight="1" x14ac:dyDescent="0.25">
      <c r="A55" s="28" t="s">
        <v>55</v>
      </c>
      <c r="B55" s="32">
        <v>300</v>
      </c>
      <c r="C55" s="28">
        <f>SUM(C56:C77)</f>
        <v>1149.9000000000001</v>
      </c>
      <c r="D55" s="28">
        <f>SUM(D56:D75)</f>
        <v>1114.78</v>
      </c>
      <c r="E55" s="33">
        <f t="shared" si="0"/>
        <v>-35.120000000000118</v>
      </c>
      <c r="F55" s="96">
        <f t="shared" si="1"/>
        <v>0.96945821375771801</v>
      </c>
    </row>
    <row r="56" spans="1:9" ht="33" customHeight="1" x14ac:dyDescent="0.25">
      <c r="A56" s="23" t="s">
        <v>56</v>
      </c>
      <c r="B56" s="24">
        <v>301</v>
      </c>
      <c r="C56" s="23">
        <v>7</v>
      </c>
      <c r="D56" s="23">
        <v>5.9</v>
      </c>
      <c r="E56" s="35">
        <f t="shared" si="0"/>
        <v>-1.0999999999999996</v>
      </c>
      <c r="F56" s="97">
        <f t="shared" si="1"/>
        <v>0.84285714285714286</v>
      </c>
    </row>
    <row r="57" spans="1:9" ht="15" customHeight="1" x14ac:dyDescent="0.25">
      <c r="A57" s="23" t="s">
        <v>57</v>
      </c>
      <c r="B57" s="24">
        <v>302</v>
      </c>
      <c r="C57" s="23"/>
      <c r="D57" s="23"/>
      <c r="E57" s="35"/>
      <c r="F57" s="97"/>
    </row>
    <row r="58" spans="1:9" x14ac:dyDescent="0.25">
      <c r="A58" s="23" t="s">
        <v>58</v>
      </c>
      <c r="B58" s="24">
        <v>303</v>
      </c>
      <c r="C58" s="23"/>
      <c r="D58" s="23"/>
      <c r="E58" s="35"/>
      <c r="F58" s="97"/>
    </row>
    <row r="59" spans="1:9" x14ac:dyDescent="0.25">
      <c r="A59" s="23" t="s">
        <v>59</v>
      </c>
      <c r="B59" s="24">
        <v>304</v>
      </c>
      <c r="C59" s="23"/>
      <c r="D59" s="23"/>
      <c r="E59" s="35"/>
      <c r="F59" s="97"/>
    </row>
    <row r="60" spans="1:9" x14ac:dyDescent="0.25">
      <c r="A60" s="23" t="s">
        <v>60</v>
      </c>
      <c r="B60" s="24">
        <v>305</v>
      </c>
      <c r="C60" s="23"/>
      <c r="D60" s="23"/>
      <c r="E60" s="35"/>
      <c r="F60" s="97"/>
    </row>
    <row r="61" spans="1:9" x14ac:dyDescent="0.25">
      <c r="A61" s="23" t="s">
        <v>61</v>
      </c>
      <c r="B61" s="24">
        <v>306</v>
      </c>
      <c r="C61" s="23"/>
      <c r="D61" s="23"/>
      <c r="E61" s="35"/>
      <c r="F61" s="97"/>
    </row>
    <row r="62" spans="1:9" x14ac:dyDescent="0.25">
      <c r="A62" s="23" t="s">
        <v>62</v>
      </c>
      <c r="B62" s="24">
        <v>307</v>
      </c>
      <c r="C62" s="23">
        <v>12</v>
      </c>
      <c r="D62" s="23">
        <v>10.7</v>
      </c>
      <c r="E62" s="35">
        <f t="shared" si="0"/>
        <v>-1.3000000000000007</v>
      </c>
      <c r="F62" s="97">
        <f t="shared" si="1"/>
        <v>0.89166666666666661</v>
      </c>
    </row>
    <row r="63" spans="1:9" x14ac:dyDescent="0.25">
      <c r="A63" s="23" t="s">
        <v>63</v>
      </c>
      <c r="B63" s="24">
        <v>308</v>
      </c>
      <c r="C63" s="23">
        <v>875.3</v>
      </c>
      <c r="D63" s="23">
        <v>873.4</v>
      </c>
      <c r="E63" s="35">
        <f t="shared" si="0"/>
        <v>-1.8999999999999773</v>
      </c>
      <c r="F63" s="97">
        <f t="shared" si="1"/>
        <v>0.99782931566320121</v>
      </c>
    </row>
    <row r="64" spans="1:9" x14ac:dyDescent="0.25">
      <c r="A64" s="23" t="s">
        <v>64</v>
      </c>
      <c r="B64" s="24">
        <v>309</v>
      </c>
      <c r="C64" s="23">
        <v>170.4</v>
      </c>
      <c r="D64" s="23">
        <f>D63*20%</f>
        <v>174.68</v>
      </c>
      <c r="E64" s="35">
        <f t="shared" si="0"/>
        <v>4.2800000000000011</v>
      </c>
      <c r="F64" s="97">
        <f t="shared" si="1"/>
        <v>1.0251173708920187</v>
      </c>
    </row>
    <row r="65" spans="1:10" ht="49.15" customHeight="1" x14ac:dyDescent="0.25">
      <c r="A65" s="23" t="s">
        <v>65</v>
      </c>
      <c r="B65" s="24">
        <v>310</v>
      </c>
      <c r="C65" s="23"/>
      <c r="D65" s="23"/>
      <c r="E65" s="35"/>
      <c r="F65" s="97"/>
    </row>
    <row r="66" spans="1:10" ht="51" customHeight="1" x14ac:dyDescent="0.25">
      <c r="A66" s="23" t="s">
        <v>66</v>
      </c>
      <c r="B66" s="24">
        <v>311</v>
      </c>
      <c r="C66" s="23"/>
      <c r="D66" s="23"/>
      <c r="E66" s="35"/>
      <c r="F66" s="97"/>
    </row>
    <row r="67" spans="1:10" ht="31.5" x14ac:dyDescent="0.25">
      <c r="A67" s="23" t="s">
        <v>173</v>
      </c>
      <c r="B67" s="24">
        <v>312</v>
      </c>
      <c r="C67" s="23"/>
      <c r="D67" s="23"/>
      <c r="E67" s="35"/>
      <c r="F67" s="97"/>
    </row>
    <row r="68" spans="1:10" ht="34.15" customHeight="1" x14ac:dyDescent="0.25">
      <c r="A68" s="23" t="s">
        <v>67</v>
      </c>
      <c r="B68" s="24">
        <v>313</v>
      </c>
      <c r="C68" s="23"/>
      <c r="D68" s="23"/>
      <c r="E68" s="35"/>
      <c r="F68" s="97"/>
    </row>
    <row r="69" spans="1:10" x14ac:dyDescent="0.25">
      <c r="A69" s="23" t="s">
        <v>68</v>
      </c>
      <c r="B69" s="24">
        <v>314</v>
      </c>
      <c r="C69" s="23"/>
      <c r="D69" s="23"/>
      <c r="E69" s="35"/>
      <c r="F69" s="97"/>
    </row>
    <row r="70" spans="1:10" ht="15" customHeight="1" x14ac:dyDescent="0.25">
      <c r="A70" s="23" t="s">
        <v>69</v>
      </c>
      <c r="B70" s="24">
        <v>315</v>
      </c>
      <c r="C70" s="23"/>
      <c r="D70" s="23"/>
      <c r="E70" s="35"/>
      <c r="F70" s="97"/>
    </row>
    <row r="71" spans="1:10" x14ac:dyDescent="0.25">
      <c r="A71" s="23" t="s">
        <v>70</v>
      </c>
      <c r="B71" s="24">
        <v>316</v>
      </c>
      <c r="C71" s="23">
        <v>30.2</v>
      </c>
      <c r="D71" s="23">
        <v>25</v>
      </c>
      <c r="E71" s="35">
        <f t="shared" si="0"/>
        <v>-5.1999999999999993</v>
      </c>
      <c r="F71" s="97">
        <f t="shared" si="1"/>
        <v>0.82781456953642385</v>
      </c>
    </row>
    <row r="72" spans="1:10" x14ac:dyDescent="0.25">
      <c r="A72" s="23" t="s">
        <v>71</v>
      </c>
      <c r="B72" s="24">
        <v>317</v>
      </c>
      <c r="C72" s="23"/>
      <c r="D72" s="23"/>
      <c r="E72" s="35"/>
      <c r="F72" s="97"/>
    </row>
    <row r="73" spans="1:10" ht="33.6" customHeight="1" x14ac:dyDescent="0.25">
      <c r="A73" s="23" t="s">
        <v>72</v>
      </c>
      <c r="B73" s="24">
        <v>318</v>
      </c>
      <c r="C73" s="23">
        <v>0</v>
      </c>
      <c r="D73" s="23">
        <v>0</v>
      </c>
      <c r="E73" s="35">
        <f t="shared" si="0"/>
        <v>0</v>
      </c>
      <c r="F73" s="97"/>
    </row>
    <row r="74" spans="1:10" ht="31.9" customHeight="1" x14ac:dyDescent="0.25">
      <c r="A74" s="23" t="s">
        <v>73</v>
      </c>
      <c r="B74" s="24">
        <v>319</v>
      </c>
      <c r="C74" s="23"/>
      <c r="D74" s="23"/>
      <c r="E74" s="35"/>
      <c r="F74" s="97"/>
    </row>
    <row r="75" spans="1:10" ht="66.599999999999994" customHeight="1" x14ac:dyDescent="0.25">
      <c r="A75" s="28" t="s">
        <v>74</v>
      </c>
      <c r="B75" s="32">
        <v>320</v>
      </c>
      <c r="C75" s="28">
        <f>SUM(C76:C77)</f>
        <v>27.5</v>
      </c>
      <c r="D75" s="28">
        <f>SUM(D76:D77)</f>
        <v>25.1</v>
      </c>
      <c r="E75" s="33">
        <f t="shared" si="0"/>
        <v>-2.3999999999999986</v>
      </c>
      <c r="F75" s="97">
        <f t="shared" ref="F75:F77" si="2">D75/C75</f>
        <v>0.91272727272727283</v>
      </c>
    </row>
    <row r="76" spans="1:10" ht="15" customHeight="1" x14ac:dyDescent="0.25">
      <c r="A76" s="23" t="s">
        <v>75</v>
      </c>
      <c r="B76" s="24">
        <v>321</v>
      </c>
      <c r="C76" s="23"/>
      <c r="D76" s="23"/>
      <c r="E76" s="35"/>
      <c r="F76" s="97"/>
    </row>
    <row r="77" spans="1:10" ht="15" customHeight="1" x14ac:dyDescent="0.25">
      <c r="A77" s="23" t="s">
        <v>76</v>
      </c>
      <c r="B77" s="24">
        <v>322</v>
      </c>
      <c r="C77" s="23">
        <v>27.5</v>
      </c>
      <c r="D77" s="23">
        <v>25.1</v>
      </c>
      <c r="E77" s="35">
        <f t="shared" ref="E77" si="3">D77-C77</f>
        <v>-2.3999999999999986</v>
      </c>
      <c r="F77" s="97">
        <f t="shared" si="2"/>
        <v>0.91272727272727283</v>
      </c>
      <c r="I77" s="22" t="s">
        <v>180</v>
      </c>
      <c r="J77" s="22" t="s">
        <v>178</v>
      </c>
    </row>
    <row r="78" spans="1:10" x14ac:dyDescent="0.25">
      <c r="A78" s="28" t="s">
        <v>77</v>
      </c>
      <c r="B78" s="32">
        <v>400</v>
      </c>
      <c r="C78" s="28">
        <f>SUM(C79:C87)</f>
        <v>0</v>
      </c>
      <c r="D78" s="28">
        <f>SUM(D79:D87)</f>
        <v>0</v>
      </c>
      <c r="E78" s="33">
        <f t="shared" si="0"/>
        <v>0</v>
      </c>
      <c r="F78" s="96">
        <v>0</v>
      </c>
    </row>
    <row r="79" spans="1:10" x14ac:dyDescent="0.25">
      <c r="A79" s="23" t="s">
        <v>78</v>
      </c>
      <c r="B79" s="24">
        <v>401</v>
      </c>
      <c r="C79" s="23"/>
      <c r="D79" s="23"/>
      <c r="E79" s="35"/>
      <c r="F79" s="97"/>
    </row>
    <row r="80" spans="1:10" x14ac:dyDescent="0.25">
      <c r="A80" s="23" t="s">
        <v>79</v>
      </c>
      <c r="B80" s="24">
        <v>402</v>
      </c>
      <c r="C80" s="23"/>
      <c r="D80" s="23"/>
      <c r="E80" s="35"/>
      <c r="F80" s="97"/>
    </row>
    <row r="81" spans="1:9" x14ac:dyDescent="0.25">
      <c r="A81" s="23" t="s">
        <v>63</v>
      </c>
      <c r="B81" s="24">
        <v>403</v>
      </c>
      <c r="C81" s="23"/>
      <c r="D81" s="23"/>
      <c r="E81" s="35"/>
      <c r="F81" s="97"/>
    </row>
    <row r="82" spans="1:9" x14ac:dyDescent="0.25">
      <c r="A82" s="23" t="s">
        <v>64</v>
      </c>
      <c r="B82" s="24">
        <v>404</v>
      </c>
      <c r="C82" s="23"/>
      <c r="D82" s="23"/>
      <c r="E82" s="35"/>
      <c r="F82" s="97"/>
    </row>
    <row r="83" spans="1:9" ht="29.45" customHeight="1" x14ac:dyDescent="0.25">
      <c r="A83" s="23" t="s">
        <v>80</v>
      </c>
      <c r="B83" s="24">
        <v>405</v>
      </c>
      <c r="C83" s="23"/>
      <c r="D83" s="23"/>
      <c r="E83" s="35"/>
      <c r="F83" s="97"/>
    </row>
    <row r="84" spans="1:9" x14ac:dyDescent="0.25">
      <c r="A84" s="23" t="s">
        <v>81</v>
      </c>
      <c r="B84" s="24">
        <v>406</v>
      </c>
      <c r="C84" s="23"/>
      <c r="D84" s="23"/>
      <c r="E84" s="35"/>
      <c r="F84" s="97"/>
    </row>
    <row r="85" spans="1:9" x14ac:dyDescent="0.25">
      <c r="A85" s="23" t="s">
        <v>82</v>
      </c>
      <c r="B85" s="24">
        <v>407</v>
      </c>
      <c r="C85" s="23"/>
      <c r="D85" s="23"/>
      <c r="E85" s="35"/>
      <c r="F85" s="97"/>
    </row>
    <row r="86" spans="1:9" ht="15" customHeight="1" x14ac:dyDescent="0.25">
      <c r="A86" s="23" t="s">
        <v>83</v>
      </c>
      <c r="B86" s="24">
        <v>408</v>
      </c>
      <c r="C86" s="23"/>
      <c r="D86" s="23"/>
      <c r="E86" s="35"/>
      <c r="F86" s="97"/>
    </row>
    <row r="87" spans="1:9" ht="15" customHeight="1" x14ac:dyDescent="0.25">
      <c r="A87" s="23" t="s">
        <v>84</v>
      </c>
      <c r="B87" s="24">
        <v>409</v>
      </c>
      <c r="C87" s="23"/>
      <c r="D87" s="23"/>
      <c r="E87" s="35"/>
      <c r="F87" s="97"/>
    </row>
    <row r="88" spans="1:9" ht="31.5" x14ac:dyDescent="0.25">
      <c r="A88" s="23" t="s">
        <v>191</v>
      </c>
      <c r="B88" s="24">
        <v>500</v>
      </c>
      <c r="C88" s="23"/>
      <c r="D88" s="23"/>
      <c r="E88" s="35"/>
      <c r="F88" s="97"/>
    </row>
    <row r="89" spans="1:9" x14ac:dyDescent="0.25">
      <c r="A89" s="23" t="s">
        <v>195</v>
      </c>
      <c r="B89" s="24">
        <v>600</v>
      </c>
      <c r="C89" s="23">
        <v>0</v>
      </c>
      <c r="D89" s="23">
        <v>142</v>
      </c>
      <c r="E89" s="35">
        <f t="shared" ref="E89" si="4">D89-C89</f>
        <v>142</v>
      </c>
      <c r="F89" s="97"/>
      <c r="I89" s="22" t="s">
        <v>184</v>
      </c>
    </row>
    <row r="90" spans="1:9" x14ac:dyDescent="0.25">
      <c r="A90" s="28" t="s">
        <v>85</v>
      </c>
      <c r="B90" s="24">
        <v>700</v>
      </c>
      <c r="C90" s="23">
        <f>SUM(C25)</f>
        <v>6223.9</v>
      </c>
      <c r="D90" s="23">
        <f>SUM(D25,D88)</f>
        <v>6253.1</v>
      </c>
      <c r="E90" s="35">
        <f t="shared" ref="E90:E101" si="5">D90-C90</f>
        <v>29.200000000000728</v>
      </c>
      <c r="F90" s="97">
        <f t="shared" ref="F90:F101" si="6">D90/C90</f>
        <v>1.004691592088562</v>
      </c>
    </row>
    <row r="91" spans="1:9" x14ac:dyDescent="0.25">
      <c r="A91" s="28" t="s">
        <v>86</v>
      </c>
      <c r="B91" s="24">
        <v>800</v>
      </c>
      <c r="C91" s="23">
        <f>SUM(C97:C100,C94)</f>
        <v>5774.4</v>
      </c>
      <c r="D91" s="23">
        <f>SUM(D97:D100,D94)</f>
        <v>6302.3</v>
      </c>
      <c r="E91" s="35">
        <f t="shared" si="5"/>
        <v>527.90000000000055</v>
      </c>
      <c r="F91" s="97">
        <f t="shared" si="6"/>
        <v>1.0914207536713771</v>
      </c>
    </row>
    <row r="92" spans="1:9" x14ac:dyDescent="0.25">
      <c r="A92" s="28" t="s">
        <v>87</v>
      </c>
      <c r="B92" s="32">
        <v>900</v>
      </c>
      <c r="C92" s="92">
        <f>C90-C91</f>
        <v>449.5</v>
      </c>
      <c r="D92" s="90">
        <f>D90-D91</f>
        <v>-49.199999999999818</v>
      </c>
      <c r="E92" s="35">
        <f t="shared" si="5"/>
        <v>-498.69999999999982</v>
      </c>
      <c r="F92" s="97">
        <f t="shared" si="6"/>
        <v>-0.10945494994438225</v>
      </c>
    </row>
    <row r="93" spans="1:9" x14ac:dyDescent="0.25">
      <c r="A93" s="28" t="s">
        <v>88</v>
      </c>
      <c r="B93" s="32"/>
      <c r="C93" s="28"/>
      <c r="D93" s="28"/>
      <c r="E93" s="35"/>
      <c r="F93" s="97"/>
    </row>
    <row r="94" spans="1:9" ht="31.5" x14ac:dyDescent="0.25">
      <c r="A94" s="23" t="s">
        <v>176</v>
      </c>
      <c r="B94" s="24">
        <v>1000</v>
      </c>
      <c r="C94" s="23">
        <f>C36+C32+C44+C43+C56+C96</f>
        <v>798.7</v>
      </c>
      <c r="D94" s="23">
        <f>D36+D32+D44+D43+D56+D96</f>
        <v>803.00000000000011</v>
      </c>
      <c r="E94" s="35">
        <f t="shared" si="5"/>
        <v>4.3000000000000682</v>
      </c>
      <c r="F94" s="97">
        <f t="shared" si="6"/>
        <v>1.0053837485914612</v>
      </c>
      <c r="G94" s="21"/>
    </row>
    <row r="95" spans="1:9" ht="18" customHeight="1" x14ac:dyDescent="0.25">
      <c r="A95" s="23" t="s">
        <v>89</v>
      </c>
      <c r="B95" s="24">
        <v>1001</v>
      </c>
      <c r="C95" s="23"/>
      <c r="D95" s="23"/>
      <c r="E95" s="35"/>
      <c r="F95" s="97"/>
      <c r="G95" s="21"/>
    </row>
    <row r="96" spans="1:9" ht="31.5" x14ac:dyDescent="0.25">
      <c r="A96" s="23" t="s">
        <v>177</v>
      </c>
      <c r="B96" s="24">
        <v>1002</v>
      </c>
      <c r="C96" s="23">
        <f>C33+C39+C40+C41+C42+C51</f>
        <v>360.7</v>
      </c>
      <c r="D96" s="23">
        <f>D33+D39+D40+D41+D42+D51</f>
        <v>539.40000000000009</v>
      </c>
      <c r="E96" s="35">
        <f t="shared" si="5"/>
        <v>178.7000000000001</v>
      </c>
      <c r="F96" s="97">
        <f t="shared" si="6"/>
        <v>1.4954255614083729</v>
      </c>
      <c r="G96" s="36"/>
    </row>
    <row r="97" spans="1:9" x14ac:dyDescent="0.25">
      <c r="A97" s="23" t="s">
        <v>34</v>
      </c>
      <c r="B97" s="24">
        <v>1100</v>
      </c>
      <c r="C97" s="23">
        <f>C34+C63+C81</f>
        <v>3998.2</v>
      </c>
      <c r="D97" s="23">
        <f>D34+D63+D81</f>
        <v>4367.6000000000004</v>
      </c>
      <c r="E97" s="35">
        <f t="shared" si="5"/>
        <v>369.40000000000055</v>
      </c>
      <c r="F97" s="97">
        <f t="shared" si="6"/>
        <v>1.0923915762092944</v>
      </c>
      <c r="G97" s="36"/>
    </row>
    <row r="98" spans="1:9" x14ac:dyDescent="0.25">
      <c r="A98" s="23" t="s">
        <v>35</v>
      </c>
      <c r="B98" s="24">
        <v>1200</v>
      </c>
      <c r="C98" s="23">
        <f>C35+C64+C82</f>
        <v>857.4</v>
      </c>
      <c r="D98" s="23">
        <f>D35+D64+D82</f>
        <v>889.90000000000009</v>
      </c>
      <c r="E98" s="35">
        <f t="shared" si="5"/>
        <v>32.500000000000114</v>
      </c>
      <c r="F98" s="97">
        <f t="shared" si="6"/>
        <v>1.0379052950781433</v>
      </c>
    </row>
    <row r="99" spans="1:9" x14ac:dyDescent="0.25">
      <c r="A99" s="23" t="s">
        <v>90</v>
      </c>
      <c r="B99" s="24">
        <v>1300</v>
      </c>
      <c r="C99" s="23"/>
      <c r="D99" s="23"/>
      <c r="E99" s="35"/>
      <c r="F99" s="97"/>
    </row>
    <row r="100" spans="1:9" x14ac:dyDescent="0.25">
      <c r="A100" s="23" t="s">
        <v>91</v>
      </c>
      <c r="B100" s="24">
        <v>1400</v>
      </c>
      <c r="C100" s="23">
        <f>SUM(C37:C38,C45:C50,C52:C54,C57:C62,C65:C75,C78,C89)</f>
        <v>120.1</v>
      </c>
      <c r="D100" s="23">
        <f>SUM(D37:D38,D45:D50,D52:D54,D57:D62,D65:D75,D78,D89)</f>
        <v>241.8</v>
      </c>
      <c r="E100" s="35">
        <f t="shared" si="5"/>
        <v>121.70000000000002</v>
      </c>
      <c r="F100" s="97">
        <f t="shared" si="6"/>
        <v>2.0133222314737722</v>
      </c>
    </row>
    <row r="101" spans="1:9" x14ac:dyDescent="0.25">
      <c r="A101" s="28" t="s">
        <v>92</v>
      </c>
      <c r="B101" s="32">
        <v>1500</v>
      </c>
      <c r="C101" s="23">
        <f>SUM(C97:C100,C94)</f>
        <v>5774.4</v>
      </c>
      <c r="D101" s="23">
        <f>SUM(D97:D100,D94)</f>
        <v>6302.3</v>
      </c>
      <c r="E101" s="35">
        <f t="shared" si="5"/>
        <v>527.90000000000055</v>
      </c>
      <c r="F101" s="97">
        <f t="shared" si="6"/>
        <v>1.0914207536713771</v>
      </c>
    </row>
    <row r="102" spans="1:9" x14ac:dyDescent="0.25">
      <c r="A102" s="37"/>
      <c r="B102" s="36"/>
      <c r="C102" s="36"/>
      <c r="D102" s="36"/>
      <c r="E102" s="36"/>
      <c r="F102" s="21"/>
      <c r="H102" s="21"/>
      <c r="I102" s="21"/>
    </row>
    <row r="103" spans="1:9" x14ac:dyDescent="0.25">
      <c r="A103" s="52"/>
      <c r="B103" s="21"/>
      <c r="C103" s="21"/>
      <c r="D103" s="21"/>
      <c r="E103" s="21"/>
      <c r="F103" s="21"/>
      <c r="H103" s="21"/>
      <c r="I103" s="21"/>
    </row>
    <row r="104" spans="1:9" ht="16.149999999999999" customHeight="1" thickBot="1" x14ac:dyDescent="0.3">
      <c r="A104" s="38" t="s">
        <v>187</v>
      </c>
      <c r="B104" s="39"/>
      <c r="C104" s="39"/>
      <c r="D104" s="39"/>
      <c r="E104" s="115" t="s">
        <v>171</v>
      </c>
      <c r="F104" s="115"/>
      <c r="H104" s="36"/>
      <c r="I104" s="36"/>
    </row>
    <row r="105" spans="1:9" ht="15.6" customHeight="1" x14ac:dyDescent="0.25">
      <c r="A105" s="40" t="s">
        <v>93</v>
      </c>
      <c r="B105" s="58" t="s">
        <v>94</v>
      </c>
      <c r="C105" s="116"/>
      <c r="D105" s="116"/>
      <c r="E105" s="114" t="s">
        <v>95</v>
      </c>
      <c r="F105" s="114"/>
      <c r="H105" s="36"/>
      <c r="I105" s="36"/>
    </row>
  </sheetData>
  <mergeCells count="22">
    <mergeCell ref="A19:F19"/>
    <mergeCell ref="E105:F105"/>
    <mergeCell ref="E104:F104"/>
    <mergeCell ref="C105:D105"/>
    <mergeCell ref="A21:A22"/>
    <mergeCell ref="B21:B22"/>
    <mergeCell ref="C21:F21"/>
    <mergeCell ref="A17:F17"/>
    <mergeCell ref="A16:F16"/>
    <mergeCell ref="A15:F15"/>
    <mergeCell ref="B2:F2"/>
    <mergeCell ref="C4:F4"/>
    <mergeCell ref="B3:F3"/>
    <mergeCell ref="E6:F6"/>
    <mergeCell ref="B6:D6"/>
    <mergeCell ref="B7:D7"/>
    <mergeCell ref="B8:D8"/>
    <mergeCell ref="B9:D9"/>
    <mergeCell ref="B10:D10"/>
    <mergeCell ref="B11:D11"/>
    <mergeCell ref="B13:D13"/>
    <mergeCell ref="B12:D12"/>
  </mergeCells>
  <pageMargins left="0.31496062992125984" right="0.11811023622047245" top="0.35433070866141736" bottom="0.35433070866141736" header="0.31496062992125984" footer="0.31496062992125984"/>
  <pageSetup paperSize="9" scale="99" fitToWidth="0" orientation="portrait" r:id="rId1"/>
  <rowBreaks count="2" manualBreakCount="2">
    <brk id="34" max="5" man="1"/>
    <brk id="66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workbookViewId="0">
      <selection activeCell="D15" sqref="D15"/>
    </sheetView>
  </sheetViews>
  <sheetFormatPr defaultColWidth="8.85546875" defaultRowHeight="15.75" x14ac:dyDescent="0.25"/>
  <cols>
    <col min="1" max="1" width="42.28515625" style="78" customWidth="1"/>
    <col min="2" max="2" width="8.85546875" style="78"/>
    <col min="3" max="3" width="12" style="78" customWidth="1"/>
    <col min="4" max="4" width="10.28515625" style="78" customWidth="1"/>
    <col min="5" max="5" width="11.85546875" style="78" customWidth="1"/>
    <col min="6" max="6" width="11.42578125" style="78" customWidth="1"/>
    <col min="7" max="16384" width="8.85546875" style="78"/>
  </cols>
  <sheetData>
    <row r="1" spans="1:7" x14ac:dyDescent="0.25">
      <c r="D1" s="79"/>
      <c r="F1" s="79" t="s">
        <v>97</v>
      </c>
    </row>
    <row r="2" spans="1:7" x14ac:dyDescent="0.25">
      <c r="A2" s="122" t="s">
        <v>98</v>
      </c>
      <c r="B2" s="122"/>
      <c r="C2" s="122"/>
      <c r="D2" s="122"/>
      <c r="E2" s="122"/>
      <c r="F2" s="122"/>
    </row>
    <row r="3" spans="1:7" ht="8.4499999999999993" customHeight="1" x14ac:dyDescent="0.25"/>
    <row r="4" spans="1:7" ht="15" customHeight="1" x14ac:dyDescent="0.25">
      <c r="A4" s="124" t="s">
        <v>16</v>
      </c>
      <c r="B4" s="124" t="s">
        <v>96</v>
      </c>
      <c r="C4" s="124" t="s">
        <v>19</v>
      </c>
      <c r="D4" s="124"/>
      <c r="E4" s="124"/>
      <c r="F4" s="124"/>
      <c r="G4" s="80"/>
    </row>
    <row r="5" spans="1:7" ht="37.15" customHeight="1" x14ac:dyDescent="0.25">
      <c r="A5" s="124"/>
      <c r="B5" s="124"/>
      <c r="C5" s="81" t="s">
        <v>20</v>
      </c>
      <c r="D5" s="81" t="s">
        <v>21</v>
      </c>
      <c r="E5" s="81" t="s">
        <v>22</v>
      </c>
      <c r="F5" s="81" t="s">
        <v>23</v>
      </c>
      <c r="G5" s="82"/>
    </row>
    <row r="6" spans="1:7" x14ac:dyDescent="0.25">
      <c r="A6" s="81">
        <v>1</v>
      </c>
      <c r="B6" s="81">
        <v>2</v>
      </c>
      <c r="C6" s="81">
        <v>3</v>
      </c>
      <c r="D6" s="81">
        <v>4</v>
      </c>
      <c r="E6" s="81">
        <v>5</v>
      </c>
      <c r="F6" s="81">
        <v>6</v>
      </c>
      <c r="G6" s="82"/>
    </row>
    <row r="7" spans="1:7" ht="17.45" customHeight="1" x14ac:dyDescent="0.25">
      <c r="A7" s="83" t="s">
        <v>99</v>
      </c>
      <c r="B7" s="83"/>
      <c r="C7" s="84"/>
      <c r="D7" s="84"/>
      <c r="E7" s="84"/>
      <c r="F7" s="84"/>
      <c r="G7" s="80"/>
    </row>
    <row r="8" spans="1:7" ht="47.45" customHeight="1" x14ac:dyDescent="0.25">
      <c r="A8" s="84" t="s">
        <v>100</v>
      </c>
      <c r="B8" s="84">
        <v>2000</v>
      </c>
      <c r="C8" s="88">
        <v>20</v>
      </c>
      <c r="D8" s="84">
        <v>51.8</v>
      </c>
      <c r="E8" s="85">
        <f>D8-C8</f>
        <v>31.799999999999997</v>
      </c>
      <c r="F8" s="98">
        <f>D8/C8</f>
        <v>2.59</v>
      </c>
      <c r="G8" s="80"/>
    </row>
    <row r="9" spans="1:7" ht="34.15" customHeight="1" x14ac:dyDescent="0.25">
      <c r="A9" s="84" t="s">
        <v>101</v>
      </c>
      <c r="B9" s="84">
        <v>2001</v>
      </c>
      <c r="C9" s="84"/>
      <c r="D9" s="84">
        <f>SUM(D10:D13)</f>
        <v>49.199999999999996</v>
      </c>
      <c r="E9" s="85"/>
      <c r="F9" s="85"/>
      <c r="G9" s="80"/>
    </row>
    <row r="10" spans="1:7" ht="18.600000000000001" customHeight="1" x14ac:dyDescent="0.25">
      <c r="A10" s="84" t="s">
        <v>102</v>
      </c>
      <c r="B10" s="84">
        <v>2002</v>
      </c>
      <c r="C10" s="84"/>
      <c r="D10" s="84"/>
      <c r="E10" s="85"/>
      <c r="F10" s="85"/>
      <c r="G10" s="80"/>
    </row>
    <row r="11" spans="1:7" ht="32.450000000000003" customHeight="1" x14ac:dyDescent="0.25">
      <c r="A11" s="84" t="s">
        <v>103</v>
      </c>
      <c r="B11" s="84">
        <v>2003</v>
      </c>
      <c r="C11" s="84"/>
      <c r="D11" s="84"/>
      <c r="E11" s="85"/>
      <c r="F11" s="85"/>
      <c r="G11" s="80"/>
    </row>
    <row r="12" spans="1:7" ht="20.45" customHeight="1" x14ac:dyDescent="0.25">
      <c r="A12" s="84" t="s">
        <v>104</v>
      </c>
      <c r="B12" s="84">
        <v>2004</v>
      </c>
      <c r="C12" s="84"/>
      <c r="D12" s="84"/>
      <c r="E12" s="85"/>
      <c r="F12" s="85"/>
      <c r="G12" s="80"/>
    </row>
    <row r="13" spans="1:7" ht="18" customHeight="1" x14ac:dyDescent="0.25">
      <c r="A13" s="84" t="s">
        <v>192</v>
      </c>
      <c r="B13" s="84">
        <v>2005</v>
      </c>
      <c r="C13" s="84"/>
      <c r="D13" s="84">
        <f>D8-D14</f>
        <v>49.199999999999996</v>
      </c>
      <c r="E13" s="87">
        <f t="shared" ref="E13:E14" si="0">D13-C13</f>
        <v>49.199999999999996</v>
      </c>
      <c r="F13" s="87"/>
      <c r="G13" s="80"/>
    </row>
    <row r="14" spans="1:7" ht="34.15" customHeight="1" x14ac:dyDescent="0.25">
      <c r="A14" s="84" t="s">
        <v>105</v>
      </c>
      <c r="B14" s="84">
        <v>2006</v>
      </c>
      <c r="C14" s="84">
        <v>449.5</v>
      </c>
      <c r="D14" s="84">
        <v>2.6</v>
      </c>
      <c r="E14" s="87">
        <f t="shared" si="0"/>
        <v>-446.9</v>
      </c>
      <c r="F14" s="98">
        <f>D14/C14</f>
        <v>5.7842046718576201E-3</v>
      </c>
      <c r="G14" s="80"/>
    </row>
    <row r="15" spans="1:7" ht="47.45" customHeight="1" x14ac:dyDescent="0.25">
      <c r="A15" s="83" t="s">
        <v>106</v>
      </c>
      <c r="B15" s="83">
        <v>2100</v>
      </c>
      <c r="C15" s="93">
        <f>SUM(C16:C20)</f>
        <v>719.67599999999993</v>
      </c>
      <c r="D15" s="93">
        <f>SUM(D16:D20)</f>
        <v>786.16800000000001</v>
      </c>
      <c r="E15" s="86">
        <f t="shared" ref="E15:E25" si="1">D15-C15</f>
        <v>66.492000000000075</v>
      </c>
      <c r="F15" s="99">
        <f>D15/C15</f>
        <v>1.0923915762092944</v>
      </c>
      <c r="G15" s="80"/>
    </row>
    <row r="16" spans="1:7" ht="18.600000000000001" customHeight="1" x14ac:dyDescent="0.25">
      <c r="A16" s="84" t="s">
        <v>107</v>
      </c>
      <c r="B16" s="84">
        <v>2101</v>
      </c>
      <c r="C16" s="88">
        <f>'Таблиця 1'!C97*18%</f>
        <v>719.67599999999993</v>
      </c>
      <c r="D16" s="88">
        <f>'Таблиця 1'!D97*18%</f>
        <v>786.16800000000001</v>
      </c>
      <c r="E16" s="87">
        <f t="shared" si="1"/>
        <v>66.492000000000075</v>
      </c>
      <c r="F16" s="98">
        <f>D16/C16</f>
        <v>1.0923915762092944</v>
      </c>
      <c r="G16" s="80"/>
    </row>
    <row r="17" spans="1:7" ht="17.45" customHeight="1" x14ac:dyDescent="0.25">
      <c r="A17" s="84" t="s">
        <v>108</v>
      </c>
      <c r="B17" s="84">
        <v>2102</v>
      </c>
      <c r="C17" s="84"/>
      <c r="D17" s="84"/>
      <c r="E17" s="87"/>
      <c r="F17" s="98"/>
      <c r="G17" s="80"/>
    </row>
    <row r="18" spans="1:7" ht="15" customHeight="1" x14ac:dyDescent="0.25">
      <c r="A18" s="84" t="s">
        <v>109</v>
      </c>
      <c r="B18" s="84">
        <v>2103</v>
      </c>
      <c r="C18" s="84"/>
      <c r="D18" s="84"/>
      <c r="E18" s="87"/>
      <c r="F18" s="98"/>
      <c r="G18" s="80"/>
    </row>
    <row r="19" spans="1:7" ht="15" customHeight="1" x14ac:dyDescent="0.25">
      <c r="A19" s="84" t="s">
        <v>110</v>
      </c>
      <c r="B19" s="84">
        <v>2104</v>
      </c>
      <c r="C19" s="84"/>
      <c r="D19" s="84"/>
      <c r="E19" s="87"/>
      <c r="F19" s="98"/>
      <c r="G19" s="80"/>
    </row>
    <row r="20" spans="1:7" ht="20.45" customHeight="1" x14ac:dyDescent="0.25">
      <c r="A20" s="84" t="s">
        <v>111</v>
      </c>
      <c r="B20" s="84">
        <v>2105</v>
      </c>
      <c r="C20" s="84"/>
      <c r="D20" s="84"/>
      <c r="E20" s="87"/>
      <c r="F20" s="98"/>
      <c r="G20" s="80"/>
    </row>
    <row r="21" spans="1:7" ht="35.450000000000003" customHeight="1" x14ac:dyDescent="0.25">
      <c r="A21" s="83" t="s">
        <v>112</v>
      </c>
      <c r="B21" s="83">
        <v>2200</v>
      </c>
      <c r="C21" s="83">
        <f>SUM(C22:C25)</f>
        <v>917.37299999999993</v>
      </c>
      <c r="D21" s="83">
        <f>SUM(D22:D25)</f>
        <v>955.4140000000001</v>
      </c>
      <c r="E21" s="86">
        <f t="shared" si="1"/>
        <v>38.041000000000167</v>
      </c>
      <c r="F21" s="99">
        <f>D21/C21</f>
        <v>1.041467320272125</v>
      </c>
      <c r="G21" s="80"/>
    </row>
    <row r="22" spans="1:7" ht="20.45" customHeight="1" x14ac:dyDescent="0.25">
      <c r="A22" s="84" t="s">
        <v>113</v>
      </c>
      <c r="B22" s="84">
        <v>2201</v>
      </c>
      <c r="C22" s="84"/>
      <c r="D22" s="84"/>
      <c r="E22" s="85"/>
      <c r="F22" s="98"/>
      <c r="G22" s="80"/>
    </row>
    <row r="23" spans="1:7" ht="34.9" customHeight="1" x14ac:dyDescent="0.25">
      <c r="A23" s="84" t="s">
        <v>114</v>
      </c>
      <c r="B23" s="84">
        <v>2202</v>
      </c>
      <c r="C23" s="88">
        <f>'Таблиця 1'!C98</f>
        <v>857.4</v>
      </c>
      <c r="D23" s="88">
        <f>'Таблиця 1'!D98</f>
        <v>889.90000000000009</v>
      </c>
      <c r="E23" s="87">
        <f t="shared" si="1"/>
        <v>32.500000000000114</v>
      </c>
      <c r="F23" s="98">
        <f>D23/C23</f>
        <v>1.0379052950781433</v>
      </c>
      <c r="G23" s="80"/>
    </row>
    <row r="24" spans="1:7" ht="33.6" customHeight="1" x14ac:dyDescent="0.25">
      <c r="A24" s="84" t="s">
        <v>115</v>
      </c>
      <c r="B24" s="84">
        <v>2203</v>
      </c>
      <c r="C24" s="88"/>
      <c r="D24" s="88"/>
      <c r="E24" s="87"/>
      <c r="F24" s="98"/>
      <c r="G24" s="80"/>
    </row>
    <row r="25" spans="1:7" ht="24" customHeight="1" x14ac:dyDescent="0.25">
      <c r="A25" s="84" t="s">
        <v>116</v>
      </c>
      <c r="B25" s="84">
        <v>2204</v>
      </c>
      <c r="C25" s="88">
        <f>'Таблиця 1'!C97*1.5%</f>
        <v>59.972999999999992</v>
      </c>
      <c r="D25" s="88">
        <f>'Таблиця 1'!D97*1.5%</f>
        <v>65.51400000000001</v>
      </c>
      <c r="E25" s="87">
        <f t="shared" si="1"/>
        <v>5.5410000000000181</v>
      </c>
      <c r="F25" s="98">
        <f>D25/C25</f>
        <v>1.0923915762092944</v>
      </c>
      <c r="G25" s="80"/>
    </row>
    <row r="26" spans="1:7" ht="31.9" customHeight="1" x14ac:dyDescent="0.25">
      <c r="A26" s="83" t="s">
        <v>117</v>
      </c>
      <c r="B26" s="83">
        <v>2300</v>
      </c>
      <c r="C26" s="88"/>
      <c r="D26" s="88"/>
      <c r="E26" s="87"/>
      <c r="F26" s="98"/>
      <c r="G26" s="80"/>
    </row>
    <row r="27" spans="1:7" ht="65.45" customHeight="1" x14ac:dyDescent="0.25">
      <c r="A27" s="84" t="s">
        <v>118</v>
      </c>
      <c r="B27" s="84">
        <v>2301</v>
      </c>
      <c r="C27" s="84"/>
      <c r="D27" s="84"/>
      <c r="E27" s="85"/>
      <c r="F27" s="98"/>
      <c r="G27" s="80"/>
    </row>
    <row r="28" spans="1:7" ht="35.450000000000003" customHeight="1" x14ac:dyDescent="0.25">
      <c r="A28" s="84" t="s">
        <v>119</v>
      </c>
      <c r="B28" s="84">
        <v>2302</v>
      </c>
      <c r="C28" s="84"/>
      <c r="D28" s="84"/>
      <c r="E28" s="85"/>
      <c r="F28" s="98"/>
      <c r="G28" s="80"/>
    </row>
    <row r="29" spans="1:7" ht="12.6" customHeight="1" x14ac:dyDescent="0.25">
      <c r="A29" s="82"/>
      <c r="B29" s="82"/>
      <c r="C29" s="82"/>
      <c r="D29" s="82"/>
      <c r="E29" s="89"/>
      <c r="F29" s="89"/>
      <c r="G29" s="80"/>
    </row>
    <row r="30" spans="1:7" ht="16.5" thickBot="1" x14ac:dyDescent="0.3">
      <c r="A30" s="38" t="s">
        <v>187</v>
      </c>
      <c r="B30" s="71"/>
      <c r="C30" s="71"/>
      <c r="D30" s="71"/>
      <c r="E30" s="125" t="s">
        <v>171</v>
      </c>
      <c r="F30" s="125"/>
    </row>
    <row r="31" spans="1:7" ht="14.45" customHeight="1" x14ac:dyDescent="0.25">
      <c r="A31" s="72" t="s">
        <v>93</v>
      </c>
      <c r="B31" s="73" t="s">
        <v>94</v>
      </c>
      <c r="C31" s="73"/>
      <c r="D31" s="73"/>
      <c r="E31" s="123" t="s">
        <v>95</v>
      </c>
      <c r="F31" s="123"/>
    </row>
  </sheetData>
  <mergeCells count="6">
    <mergeCell ref="A2:F2"/>
    <mergeCell ref="E31:F31"/>
    <mergeCell ref="C4:F4"/>
    <mergeCell ref="B4:B5"/>
    <mergeCell ref="A4:A5"/>
    <mergeCell ref="E30:F30"/>
  </mergeCells>
  <pageMargins left="0.31496062992125984" right="0.31496062992125984" top="0.35433070866141736" bottom="0.15748031496062992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"/>
  <sheetViews>
    <sheetView zoomScaleNormal="100" zoomScaleSheetLayoutView="100" workbookViewId="0">
      <selection activeCell="D24" sqref="D24"/>
    </sheetView>
  </sheetViews>
  <sheetFormatPr defaultColWidth="8.85546875" defaultRowHeight="15" x14ac:dyDescent="0.25"/>
  <cols>
    <col min="1" max="1" width="38.7109375" style="60" customWidth="1"/>
    <col min="2" max="2" width="8.85546875" style="60"/>
    <col min="3" max="3" width="11.7109375" style="60" customWidth="1"/>
    <col min="4" max="4" width="10.85546875" style="60" customWidth="1"/>
    <col min="5" max="5" width="13.7109375" style="60" customWidth="1"/>
    <col min="6" max="6" width="12" style="60" customWidth="1"/>
    <col min="7" max="16384" width="8.85546875" style="60"/>
  </cols>
  <sheetData>
    <row r="1" spans="1:6" x14ac:dyDescent="0.25">
      <c r="A1" s="59"/>
      <c r="F1" s="59" t="s">
        <v>120</v>
      </c>
    </row>
    <row r="2" spans="1:6" x14ac:dyDescent="0.25">
      <c r="A2" s="130" t="s">
        <v>121</v>
      </c>
      <c r="B2" s="130"/>
      <c r="C2" s="130"/>
      <c r="D2" s="130"/>
      <c r="E2" s="130"/>
      <c r="F2" s="130"/>
    </row>
    <row r="3" spans="1:6" ht="15.75" thickBot="1" x14ac:dyDescent="0.3"/>
    <row r="4" spans="1:6" ht="15.75" thickBot="1" x14ac:dyDescent="0.3">
      <c r="A4" s="131" t="s">
        <v>16</v>
      </c>
      <c r="B4" s="61" t="s">
        <v>17</v>
      </c>
      <c r="C4" s="134" t="s">
        <v>19</v>
      </c>
      <c r="D4" s="135"/>
      <c r="E4" s="135"/>
      <c r="F4" s="136"/>
    </row>
    <row r="5" spans="1:6" x14ac:dyDescent="0.25">
      <c r="A5" s="132"/>
      <c r="B5" s="62" t="s">
        <v>18</v>
      </c>
      <c r="C5" s="131" t="s">
        <v>20</v>
      </c>
      <c r="D5" s="131" t="s">
        <v>21</v>
      </c>
      <c r="E5" s="131" t="s">
        <v>22</v>
      </c>
      <c r="F5" s="131" t="s">
        <v>23</v>
      </c>
    </row>
    <row r="6" spans="1:6" ht="15.75" thickBot="1" x14ac:dyDescent="0.3">
      <c r="A6" s="133"/>
      <c r="B6" s="63"/>
      <c r="C6" s="133"/>
      <c r="D6" s="133"/>
      <c r="E6" s="133"/>
      <c r="F6" s="133"/>
    </row>
    <row r="7" spans="1:6" ht="15.75" thickBot="1" x14ac:dyDescent="0.3">
      <c r="A7" s="64">
        <v>1</v>
      </c>
      <c r="B7" s="65">
        <v>2</v>
      </c>
      <c r="C7" s="65">
        <v>3</v>
      </c>
      <c r="D7" s="65">
        <v>4</v>
      </c>
      <c r="E7" s="65">
        <v>5</v>
      </c>
      <c r="F7" s="65">
        <v>6</v>
      </c>
    </row>
    <row r="8" spans="1:6" ht="15.75" thickBot="1" x14ac:dyDescent="0.3">
      <c r="A8" s="127" t="s">
        <v>122</v>
      </c>
      <c r="B8" s="128"/>
      <c r="C8" s="128"/>
      <c r="D8" s="128"/>
      <c r="E8" s="128"/>
      <c r="F8" s="129"/>
    </row>
    <row r="9" spans="1:6" ht="34.15" customHeight="1" thickBot="1" x14ac:dyDescent="0.3">
      <c r="A9" s="66" t="s">
        <v>123</v>
      </c>
      <c r="B9" s="65">
        <v>3000</v>
      </c>
      <c r="C9" s="67">
        <f>SUM(C10:C14)</f>
        <v>6223.9</v>
      </c>
      <c r="D9" s="67">
        <f t="shared" ref="D9" si="0">SUM(D10:D14)</f>
        <v>6253.1</v>
      </c>
      <c r="E9" s="67">
        <f t="shared" ref="E9" si="1">D9-C9</f>
        <v>29.200000000000728</v>
      </c>
      <c r="F9" s="100">
        <f>D9/C9</f>
        <v>1.004691592088562</v>
      </c>
    </row>
    <row r="10" spans="1:6" ht="42" customHeight="1" thickBot="1" x14ac:dyDescent="0.3">
      <c r="A10" s="68" t="s">
        <v>124</v>
      </c>
      <c r="B10" s="67">
        <v>3001</v>
      </c>
      <c r="C10" s="67">
        <v>37.5</v>
      </c>
      <c r="D10" s="67">
        <v>421.4</v>
      </c>
      <c r="E10" s="67">
        <f t="shared" ref="E10" si="2">D10-C10</f>
        <v>383.9</v>
      </c>
      <c r="F10" s="100">
        <f>D10/C10</f>
        <v>11.237333333333332</v>
      </c>
    </row>
    <row r="11" spans="1:6" ht="23.45" customHeight="1" thickBot="1" x14ac:dyDescent="0.3">
      <c r="A11" s="69" t="s">
        <v>26</v>
      </c>
      <c r="B11" s="67">
        <v>3002</v>
      </c>
      <c r="C11" s="67">
        <f>'Таблиця 1'!C26</f>
        <v>827.4</v>
      </c>
      <c r="D11" s="67">
        <f>'Таблиця 1'!D26</f>
        <v>653.69999999999993</v>
      </c>
      <c r="E11" s="67">
        <f>D11-C11</f>
        <v>-173.70000000000005</v>
      </c>
      <c r="F11" s="100">
        <f t="shared" ref="F11" si="3">D11/C11</f>
        <v>0.79006526468455396</v>
      </c>
    </row>
    <row r="12" spans="1:6" ht="26.45" customHeight="1" thickBot="1" x14ac:dyDescent="0.3">
      <c r="A12" s="69" t="s">
        <v>27</v>
      </c>
      <c r="B12" s="67">
        <v>3003</v>
      </c>
      <c r="C12" s="67"/>
      <c r="D12" s="67"/>
      <c r="E12" s="67"/>
      <c r="F12" s="100"/>
    </row>
    <row r="13" spans="1:6" ht="15.75" thickBot="1" x14ac:dyDescent="0.3">
      <c r="A13" s="69" t="s">
        <v>28</v>
      </c>
      <c r="B13" s="67">
        <v>3004</v>
      </c>
      <c r="C13" s="67">
        <f>'Таблиця 1'!C28</f>
        <v>5356</v>
      </c>
      <c r="D13" s="67">
        <f>'Таблиця 1'!D28</f>
        <v>5048.1000000000004</v>
      </c>
      <c r="E13" s="67">
        <f t="shared" ref="E13:E14" si="4">D13-C13</f>
        <v>-307.89999999999964</v>
      </c>
      <c r="F13" s="100">
        <f>D13/C13</f>
        <v>0.94251306945481705</v>
      </c>
    </row>
    <row r="14" spans="1:6" ht="15.75" thickBot="1" x14ac:dyDescent="0.3">
      <c r="A14" s="69" t="s">
        <v>29</v>
      </c>
      <c r="B14" s="67">
        <v>3005</v>
      </c>
      <c r="C14" s="67">
        <f>'Таблиця 1'!C29-C21-C10</f>
        <v>3</v>
      </c>
      <c r="D14" s="67">
        <f>'Таблиця 1'!D29-D21-D10</f>
        <v>129.90000000000009</v>
      </c>
      <c r="E14" s="67">
        <f t="shared" si="4"/>
        <v>126.90000000000009</v>
      </c>
      <c r="F14" s="100">
        <f>D14/C14</f>
        <v>43.300000000000033</v>
      </c>
    </row>
    <row r="15" spans="1:6" ht="24" customHeight="1" thickBot="1" x14ac:dyDescent="0.3">
      <c r="A15" s="68" t="s">
        <v>125</v>
      </c>
      <c r="B15" s="67">
        <v>3100</v>
      </c>
      <c r="C15" s="67"/>
      <c r="D15" s="67"/>
      <c r="E15" s="67"/>
      <c r="F15" s="100"/>
    </row>
    <row r="16" spans="1:6" ht="20.45" customHeight="1" thickBot="1" x14ac:dyDescent="0.3">
      <c r="A16" s="68" t="s">
        <v>126</v>
      </c>
      <c r="B16" s="67">
        <v>3101</v>
      </c>
      <c r="C16" s="67"/>
      <c r="D16" s="67"/>
      <c r="E16" s="67"/>
      <c r="F16" s="100"/>
    </row>
    <row r="17" spans="1:6" ht="18.600000000000001" customHeight="1" thickBot="1" x14ac:dyDescent="0.3">
      <c r="A17" s="68" t="s">
        <v>127</v>
      </c>
      <c r="B17" s="67">
        <v>3200</v>
      </c>
      <c r="C17" s="67"/>
      <c r="D17" s="67"/>
      <c r="E17" s="67"/>
      <c r="F17" s="100"/>
    </row>
    <row r="18" spans="1:6" ht="22.9" customHeight="1" thickBot="1" x14ac:dyDescent="0.3">
      <c r="A18" s="68" t="s">
        <v>128</v>
      </c>
      <c r="B18" s="67">
        <v>3300</v>
      </c>
      <c r="C18" s="67"/>
      <c r="D18" s="67"/>
      <c r="E18" s="67"/>
      <c r="F18" s="100"/>
    </row>
    <row r="19" spans="1:6" ht="29.45" customHeight="1" thickBot="1" x14ac:dyDescent="0.3">
      <c r="A19" s="68" t="s">
        <v>129</v>
      </c>
      <c r="B19" s="67">
        <v>3400</v>
      </c>
      <c r="C19" s="67"/>
      <c r="D19" s="67"/>
      <c r="E19" s="67"/>
      <c r="F19" s="100"/>
    </row>
    <row r="20" spans="1:6" ht="24" customHeight="1" thickBot="1" x14ac:dyDescent="0.3">
      <c r="A20" s="68" t="s">
        <v>130</v>
      </c>
      <c r="B20" s="67">
        <v>3500</v>
      </c>
      <c r="C20" s="67"/>
      <c r="D20" s="67"/>
      <c r="E20" s="67"/>
      <c r="F20" s="100"/>
    </row>
    <row r="21" spans="1:6" ht="30.6" customHeight="1" thickBot="1" x14ac:dyDescent="0.3">
      <c r="A21" s="68" t="s">
        <v>131</v>
      </c>
      <c r="B21" s="67">
        <v>3600</v>
      </c>
      <c r="C21" s="67"/>
      <c r="D21" s="67"/>
      <c r="E21" s="67"/>
      <c r="F21" s="100"/>
    </row>
    <row r="22" spans="1:6" ht="30.6" customHeight="1" thickBot="1" x14ac:dyDescent="0.3">
      <c r="A22" s="66" t="s">
        <v>132</v>
      </c>
      <c r="B22" s="67">
        <v>3700</v>
      </c>
      <c r="C22" s="67">
        <f>'Таблиця 1'!C91</f>
        <v>5774.4</v>
      </c>
      <c r="D22" s="67">
        <f>'Таблиця 1'!D101</f>
        <v>6302.3</v>
      </c>
      <c r="E22" s="67"/>
      <c r="F22" s="100"/>
    </row>
    <row r="23" spans="1:6" ht="36" customHeight="1" thickBot="1" x14ac:dyDescent="0.3">
      <c r="A23" s="68" t="s">
        <v>133</v>
      </c>
      <c r="B23" s="67">
        <v>3701</v>
      </c>
      <c r="C23" s="67"/>
      <c r="D23" s="67">
        <f>D22-'Таблиця 1'!D97-'Таблиця 1'!D98</f>
        <v>1044.7999999999997</v>
      </c>
      <c r="E23" s="67"/>
      <c r="F23" s="100"/>
    </row>
    <row r="24" spans="1:6" ht="24" customHeight="1" thickBot="1" x14ac:dyDescent="0.3">
      <c r="A24" s="68" t="s">
        <v>134</v>
      </c>
      <c r="B24" s="67">
        <v>3702</v>
      </c>
      <c r="C24" s="67">
        <f>'Таблиця 1'!C97</f>
        <v>3998.2</v>
      </c>
      <c r="D24" s="67">
        <f>'Таблиця 1'!D97</f>
        <v>4367.6000000000004</v>
      </c>
      <c r="E24" s="67">
        <f>D24-C24</f>
        <v>369.40000000000055</v>
      </c>
      <c r="F24" s="100">
        <f>D24/C24</f>
        <v>1.0923915762092944</v>
      </c>
    </row>
    <row r="25" spans="1:6" ht="38.450000000000003" customHeight="1" thickBot="1" x14ac:dyDescent="0.3">
      <c r="A25" s="68" t="s">
        <v>135</v>
      </c>
      <c r="B25" s="67">
        <v>3703</v>
      </c>
      <c r="C25" s="67"/>
      <c r="D25" s="67"/>
      <c r="E25" s="67"/>
      <c r="F25" s="100"/>
    </row>
    <row r="26" spans="1:6" ht="48" customHeight="1" thickBot="1" x14ac:dyDescent="0.3">
      <c r="A26" s="68" t="s">
        <v>136</v>
      </c>
      <c r="B26" s="67">
        <v>3800</v>
      </c>
      <c r="C26" s="67"/>
      <c r="D26" s="94">
        <f>'Таблиця 2'!D21+'Таблиця 2'!D15</f>
        <v>1741.5820000000001</v>
      </c>
      <c r="E26" s="67"/>
      <c r="F26" s="100"/>
    </row>
    <row r="27" spans="1:6" ht="24" customHeight="1" thickBot="1" x14ac:dyDescent="0.3">
      <c r="A27" s="68" t="s">
        <v>193</v>
      </c>
      <c r="B27" s="67">
        <v>3801</v>
      </c>
      <c r="C27" s="94">
        <f>'Таблиця 2'!C16</f>
        <v>719.67599999999993</v>
      </c>
      <c r="D27" s="94">
        <f>'Таблиця 2'!D16</f>
        <v>786.16800000000001</v>
      </c>
      <c r="E27" s="94">
        <f t="shared" ref="E27" si="5">D27-C27</f>
        <v>66.492000000000075</v>
      </c>
      <c r="F27" s="100">
        <f t="shared" ref="F27" si="6">D27/C27</f>
        <v>1.0923915762092944</v>
      </c>
    </row>
    <row r="28" spans="1:6" ht="23.45" customHeight="1" thickBot="1" x14ac:dyDescent="0.3">
      <c r="A28" s="68" t="s">
        <v>137</v>
      </c>
      <c r="B28" s="67">
        <v>3900</v>
      </c>
      <c r="C28" s="67"/>
      <c r="D28" s="67"/>
      <c r="E28" s="67"/>
      <c r="F28" s="100"/>
    </row>
    <row r="29" spans="1:6" ht="21" customHeight="1" thickBot="1" x14ac:dyDescent="0.3">
      <c r="A29" s="68" t="s">
        <v>138</v>
      </c>
      <c r="B29" s="67">
        <v>4000</v>
      </c>
      <c r="C29" s="67"/>
      <c r="D29" s="67"/>
      <c r="E29" s="67"/>
      <c r="F29" s="100"/>
    </row>
    <row r="30" spans="1:6" ht="22.9" customHeight="1" thickBot="1" x14ac:dyDescent="0.3">
      <c r="A30" s="68" t="s">
        <v>38</v>
      </c>
      <c r="B30" s="67">
        <v>5000</v>
      </c>
      <c r="C30" s="67"/>
      <c r="D30" s="67"/>
      <c r="E30" s="67"/>
      <c r="F30" s="100"/>
    </row>
    <row r="31" spans="1:6" ht="33" customHeight="1" thickBot="1" x14ac:dyDescent="0.3">
      <c r="A31" s="66" t="s">
        <v>139</v>
      </c>
      <c r="B31" s="67">
        <v>6000</v>
      </c>
      <c r="C31" s="67"/>
      <c r="D31" s="90">
        <f>'Таблиця 1'!D92</f>
        <v>-49.199999999999818</v>
      </c>
      <c r="E31" s="67"/>
      <c r="F31" s="100"/>
    </row>
    <row r="32" spans="1:6" ht="15.75" thickBot="1" x14ac:dyDescent="0.3">
      <c r="A32" s="127" t="s">
        <v>140</v>
      </c>
      <c r="B32" s="128"/>
      <c r="C32" s="128"/>
      <c r="D32" s="128"/>
      <c r="E32" s="128"/>
      <c r="F32" s="129"/>
    </row>
    <row r="33" spans="1:6" ht="38.450000000000003" customHeight="1" thickBot="1" x14ac:dyDescent="0.3">
      <c r="A33" s="66" t="s">
        <v>141</v>
      </c>
      <c r="B33" s="67">
        <v>7000</v>
      </c>
      <c r="C33" s="70"/>
      <c r="D33" s="70"/>
      <c r="E33" s="70"/>
      <c r="F33" s="70"/>
    </row>
    <row r="34" spans="1:6" ht="32.450000000000003" customHeight="1" thickBot="1" x14ac:dyDescent="0.3">
      <c r="A34" s="68" t="s">
        <v>142</v>
      </c>
      <c r="B34" s="67">
        <v>7001</v>
      </c>
      <c r="C34" s="70"/>
      <c r="D34" s="70"/>
      <c r="E34" s="70"/>
      <c r="F34" s="70"/>
    </row>
    <row r="35" spans="1:6" ht="25.9" customHeight="1" thickBot="1" x14ac:dyDescent="0.3">
      <c r="A35" s="68" t="s">
        <v>130</v>
      </c>
      <c r="B35" s="67">
        <v>7002</v>
      </c>
      <c r="C35" s="70"/>
      <c r="D35" s="70"/>
      <c r="E35" s="70"/>
      <c r="F35" s="70"/>
    </row>
    <row r="36" spans="1:6" ht="39" customHeight="1" thickBot="1" x14ac:dyDescent="0.3">
      <c r="A36" s="68" t="s">
        <v>143</v>
      </c>
      <c r="B36" s="67">
        <v>8000</v>
      </c>
      <c r="C36" s="70"/>
      <c r="D36" s="70"/>
      <c r="E36" s="70"/>
      <c r="F36" s="70"/>
    </row>
    <row r="37" spans="1:6" ht="40.9" customHeight="1" thickBot="1" x14ac:dyDescent="0.3">
      <c r="A37" s="68" t="s">
        <v>144</v>
      </c>
      <c r="B37" s="67">
        <v>8001</v>
      </c>
      <c r="C37" s="70"/>
      <c r="D37" s="70"/>
      <c r="E37" s="70"/>
      <c r="F37" s="70"/>
    </row>
    <row r="38" spans="1:6" ht="36.6" customHeight="1" thickBot="1" x14ac:dyDescent="0.3">
      <c r="A38" s="68" t="s">
        <v>145</v>
      </c>
      <c r="B38" s="67">
        <v>8002</v>
      </c>
      <c r="C38" s="70"/>
      <c r="D38" s="70"/>
      <c r="E38" s="70"/>
      <c r="F38" s="70"/>
    </row>
    <row r="39" spans="1:6" ht="27" customHeight="1" thickBot="1" x14ac:dyDescent="0.3">
      <c r="A39" s="68" t="s">
        <v>38</v>
      </c>
      <c r="B39" s="67">
        <v>8003</v>
      </c>
      <c r="C39" s="70"/>
      <c r="D39" s="70"/>
      <c r="E39" s="70"/>
      <c r="F39" s="70"/>
    </row>
    <row r="40" spans="1:6" ht="51" customHeight="1" thickBot="1" x14ac:dyDescent="0.3">
      <c r="A40" s="68" t="s">
        <v>146</v>
      </c>
      <c r="B40" s="67">
        <v>9000</v>
      </c>
      <c r="C40" s="70"/>
      <c r="D40" s="70"/>
      <c r="E40" s="70"/>
      <c r="F40" s="70"/>
    </row>
    <row r="41" spans="1:6" ht="15.75" thickBot="1" x14ac:dyDescent="0.3">
      <c r="A41" s="68" t="s">
        <v>147</v>
      </c>
      <c r="B41" s="67">
        <v>9001</v>
      </c>
      <c r="C41" s="70"/>
      <c r="D41" s="70"/>
      <c r="E41" s="70"/>
      <c r="F41" s="70"/>
    </row>
    <row r="42" spans="1:6" ht="33" customHeight="1" thickBot="1" x14ac:dyDescent="0.3">
      <c r="A42" s="66" t="s">
        <v>148</v>
      </c>
      <c r="B42" s="67">
        <v>10000</v>
      </c>
      <c r="C42" s="70"/>
      <c r="D42" s="70"/>
      <c r="E42" s="70"/>
      <c r="F42" s="70"/>
    </row>
    <row r="43" spans="1:6" ht="32.450000000000003" customHeight="1" thickBot="1" x14ac:dyDescent="0.3">
      <c r="A43" s="66" t="s">
        <v>149</v>
      </c>
      <c r="B43" s="67">
        <v>10100</v>
      </c>
      <c r="C43" s="70">
        <f>C9</f>
        <v>6223.9</v>
      </c>
      <c r="D43" s="70">
        <f>D9</f>
        <v>6253.1</v>
      </c>
      <c r="E43" s="70">
        <f>D43-C43</f>
        <v>29.200000000000728</v>
      </c>
      <c r="F43" s="101">
        <f>D43/C43</f>
        <v>1.004691592088562</v>
      </c>
    </row>
    <row r="44" spans="1:6" ht="30" customHeight="1" thickBot="1" x14ac:dyDescent="0.3">
      <c r="A44" s="68" t="s">
        <v>150</v>
      </c>
      <c r="B44" s="67">
        <v>10200</v>
      </c>
      <c r="C44" s="70">
        <f>'Таблиця 2'!C8</f>
        <v>20</v>
      </c>
      <c r="D44" s="70">
        <f>'Таблиця 2'!D8</f>
        <v>51.8</v>
      </c>
      <c r="E44" s="70">
        <f t="shared" ref="E44:E45" si="7">D44-C44</f>
        <v>31.799999999999997</v>
      </c>
      <c r="F44" s="101">
        <f t="shared" ref="F44:F45" si="8">D44/C44</f>
        <v>2.59</v>
      </c>
    </row>
    <row r="45" spans="1:6" ht="22.9" customHeight="1" thickBot="1" x14ac:dyDescent="0.3">
      <c r="A45" s="68" t="s">
        <v>151</v>
      </c>
      <c r="B45" s="67">
        <v>10300</v>
      </c>
      <c r="C45" s="70">
        <f>'Таблиця 2'!C14</f>
        <v>449.5</v>
      </c>
      <c r="D45" s="70">
        <f>'Таблиця 2'!D14</f>
        <v>2.6</v>
      </c>
      <c r="E45" s="70">
        <f t="shared" si="7"/>
        <v>-446.9</v>
      </c>
      <c r="F45" s="101">
        <f t="shared" si="8"/>
        <v>5.7842046718576201E-3</v>
      </c>
    </row>
    <row r="48" spans="1:6" ht="15" customHeight="1" thickBot="1" x14ac:dyDescent="0.3">
      <c r="A48" s="38" t="s">
        <v>187</v>
      </c>
      <c r="B48" s="71"/>
      <c r="C48" s="71"/>
      <c r="D48" s="71"/>
      <c r="E48" s="125" t="s">
        <v>171</v>
      </c>
      <c r="F48" s="125"/>
    </row>
    <row r="49" spans="1:6" ht="24" customHeight="1" x14ac:dyDescent="0.25">
      <c r="A49" s="72" t="s">
        <v>93</v>
      </c>
      <c r="B49" s="73" t="s">
        <v>94</v>
      </c>
      <c r="C49" s="73"/>
      <c r="D49" s="126" t="s">
        <v>95</v>
      </c>
      <c r="E49" s="126"/>
      <c r="F49" s="126"/>
    </row>
  </sheetData>
  <mergeCells count="11">
    <mergeCell ref="E48:F48"/>
    <mergeCell ref="D49:F49"/>
    <mergeCell ref="A8:F8"/>
    <mergeCell ref="A32:F32"/>
    <mergeCell ref="A2:F2"/>
    <mergeCell ref="A4:A6"/>
    <mergeCell ref="C4:F4"/>
    <mergeCell ref="C5:C6"/>
    <mergeCell ref="D5:D6"/>
    <mergeCell ref="E5:E6"/>
    <mergeCell ref="F5:F6"/>
  </mergeCells>
  <pageMargins left="0.31496062992125984" right="0.31496062992125984" top="0.35433070866141736" bottom="0.35433070866141736" header="0.31496062992125984" footer="0.31496062992125984"/>
  <pageSetup paperSize="9" orientation="portrait" r:id="rId1"/>
  <rowBreaks count="1" manualBreakCount="1">
    <brk id="3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workbookViewId="0">
      <selection activeCell="F10" sqref="F10"/>
    </sheetView>
  </sheetViews>
  <sheetFormatPr defaultRowHeight="15" x14ac:dyDescent="0.25"/>
  <cols>
    <col min="1" max="1" width="39.140625" customWidth="1"/>
    <col min="3" max="3" width="11.85546875" customWidth="1"/>
    <col min="4" max="4" width="10.85546875" customWidth="1"/>
    <col min="5" max="5" width="11.7109375" customWidth="1"/>
    <col min="6" max="6" width="14" customWidth="1"/>
  </cols>
  <sheetData>
    <row r="1" spans="1:7" x14ac:dyDescent="0.25">
      <c r="A1" s="10"/>
      <c r="F1" s="10" t="s">
        <v>152</v>
      </c>
    </row>
    <row r="2" spans="1:7" x14ac:dyDescent="0.25">
      <c r="A2" s="139" t="s">
        <v>153</v>
      </c>
      <c r="B2" s="139"/>
      <c r="C2" s="139"/>
      <c r="D2" s="139"/>
      <c r="E2" s="139"/>
      <c r="F2" s="139"/>
    </row>
    <row r="3" spans="1:7" ht="15.75" thickBot="1" x14ac:dyDescent="0.3">
      <c r="A3" s="11"/>
    </row>
    <row r="4" spans="1:7" ht="15.75" thickBot="1" x14ac:dyDescent="0.3">
      <c r="A4" s="140" t="s">
        <v>16</v>
      </c>
      <c r="B4" s="12" t="s">
        <v>17</v>
      </c>
      <c r="C4" s="143" t="s">
        <v>19</v>
      </c>
      <c r="D4" s="144"/>
      <c r="E4" s="144"/>
      <c r="F4" s="145"/>
    </row>
    <row r="5" spans="1:7" x14ac:dyDescent="0.25">
      <c r="A5" s="141"/>
      <c r="B5" s="13" t="s">
        <v>18</v>
      </c>
      <c r="C5" s="140" t="s">
        <v>20</v>
      </c>
      <c r="D5" s="140" t="s">
        <v>21</v>
      </c>
      <c r="E5" s="140" t="s">
        <v>22</v>
      </c>
      <c r="F5" s="140" t="s">
        <v>23</v>
      </c>
    </row>
    <row r="6" spans="1:7" ht="15.75" thickBot="1" x14ac:dyDescent="0.3">
      <c r="A6" s="142"/>
      <c r="B6" s="4"/>
      <c r="C6" s="142"/>
      <c r="D6" s="142"/>
      <c r="E6" s="142"/>
      <c r="F6" s="142"/>
    </row>
    <row r="7" spans="1:7" ht="15.75" thickBot="1" x14ac:dyDescent="0.3">
      <c r="A7" s="6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</row>
    <row r="8" spans="1:7" ht="15.75" thickBot="1" x14ac:dyDescent="0.3">
      <c r="A8" s="8" t="s">
        <v>154</v>
      </c>
      <c r="B8" s="7">
        <v>11000</v>
      </c>
      <c r="C8" s="19">
        <f>SUM(C9:C14)</f>
        <v>0</v>
      </c>
      <c r="D8" s="19">
        <f t="shared" ref="D8:F8" si="0">SUM(D9:D14)</f>
        <v>142</v>
      </c>
      <c r="E8" s="19">
        <f t="shared" si="0"/>
        <v>142</v>
      </c>
      <c r="F8" s="19">
        <f t="shared" si="0"/>
        <v>0</v>
      </c>
    </row>
    <row r="9" spans="1:7" ht="15.75" thickBot="1" x14ac:dyDescent="0.3">
      <c r="A9" s="14" t="s">
        <v>155</v>
      </c>
      <c r="B9" s="5">
        <v>11001</v>
      </c>
      <c r="C9" s="9"/>
      <c r="D9" s="9"/>
      <c r="E9" s="9"/>
      <c r="F9" s="9"/>
    </row>
    <row r="10" spans="1:7" ht="15.75" thickBot="1" x14ac:dyDescent="0.3">
      <c r="A10" s="14" t="s">
        <v>156</v>
      </c>
      <c r="B10" s="5">
        <v>11002</v>
      </c>
      <c r="C10" s="9">
        <v>0</v>
      </c>
      <c r="D10" s="9">
        <v>142</v>
      </c>
      <c r="E10" s="9">
        <f>D10-C10</f>
        <v>142</v>
      </c>
      <c r="F10" s="20"/>
    </row>
    <row r="11" spans="1:7" ht="28.9" customHeight="1" thickBot="1" x14ac:dyDescent="0.3">
      <c r="A11" s="14" t="s">
        <v>157</v>
      </c>
      <c r="B11" s="5">
        <v>11003</v>
      </c>
      <c r="C11" s="9"/>
      <c r="D11" s="9"/>
      <c r="E11" s="9"/>
      <c r="F11" s="9"/>
    </row>
    <row r="12" spans="1:7" ht="15.75" thickBot="1" x14ac:dyDescent="0.3">
      <c r="A12" s="14" t="s">
        <v>158</v>
      </c>
      <c r="B12" s="5">
        <v>11004</v>
      </c>
      <c r="C12" s="9"/>
      <c r="D12" s="9"/>
      <c r="E12" s="9"/>
      <c r="F12" s="9"/>
    </row>
    <row r="13" spans="1:7" ht="39" thickBot="1" x14ac:dyDescent="0.3">
      <c r="A13" s="14" t="s">
        <v>146</v>
      </c>
      <c r="B13" s="5">
        <v>11005</v>
      </c>
      <c r="C13" s="9"/>
      <c r="D13" s="9"/>
      <c r="E13" s="9"/>
      <c r="F13" s="9"/>
    </row>
    <row r="14" spans="1:7" ht="15.75" thickBot="1" x14ac:dyDescent="0.3">
      <c r="A14" s="14" t="s">
        <v>147</v>
      </c>
      <c r="B14" s="5">
        <v>11006</v>
      </c>
      <c r="C14" s="9"/>
      <c r="D14" s="9"/>
      <c r="E14" s="9"/>
      <c r="F14" s="9"/>
    </row>
    <row r="15" spans="1:7" x14ac:dyDescent="0.25">
      <c r="A15" s="1"/>
    </row>
    <row r="16" spans="1:7" ht="19.149999999999999" customHeight="1" thickBot="1" x14ac:dyDescent="0.3">
      <c r="A16" s="38" t="s">
        <v>187</v>
      </c>
      <c r="B16" s="3"/>
      <c r="C16" s="3"/>
      <c r="D16" s="3"/>
      <c r="E16" s="137" t="s">
        <v>171</v>
      </c>
      <c r="F16" s="137"/>
      <c r="G16" s="16"/>
    </row>
    <row r="17" spans="1:7" ht="24" customHeight="1" x14ac:dyDescent="0.25">
      <c r="A17" s="18" t="s">
        <v>93</v>
      </c>
      <c r="B17" s="15" t="s">
        <v>94</v>
      </c>
      <c r="C17" s="2"/>
      <c r="D17" s="2"/>
      <c r="E17" s="138" t="s">
        <v>95</v>
      </c>
      <c r="F17" s="138"/>
      <c r="G17" s="17"/>
    </row>
  </sheetData>
  <mergeCells count="9">
    <mergeCell ref="E16:F16"/>
    <mergeCell ref="E17:F17"/>
    <mergeCell ref="A2:F2"/>
    <mergeCell ref="A4:A6"/>
    <mergeCell ref="C4:F4"/>
    <mergeCell ref="C5:C6"/>
    <mergeCell ref="D5:D6"/>
    <mergeCell ref="E5:E6"/>
    <mergeCell ref="F5:F6"/>
  </mergeCells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tabSelected="1" topLeftCell="A16" workbookViewId="0">
      <selection activeCell="C26" sqref="C26"/>
    </sheetView>
  </sheetViews>
  <sheetFormatPr defaultColWidth="8.85546875" defaultRowHeight="15.75" x14ac:dyDescent="0.25"/>
  <cols>
    <col min="1" max="1" width="58.28515625" style="45" customWidth="1"/>
    <col min="2" max="2" width="12.28515625" style="45" customWidth="1"/>
    <col min="3" max="4" width="11.7109375" style="45" customWidth="1"/>
    <col min="5" max="16384" width="8.85546875" style="45"/>
  </cols>
  <sheetData>
    <row r="1" spans="1:4" x14ac:dyDescent="0.25">
      <c r="A1" s="44"/>
      <c r="D1" s="44" t="s">
        <v>159</v>
      </c>
    </row>
    <row r="2" spans="1:4" x14ac:dyDescent="0.25">
      <c r="A2" s="122" t="s">
        <v>160</v>
      </c>
      <c r="B2" s="122"/>
      <c r="C2" s="122"/>
      <c r="D2" s="122"/>
    </row>
    <row r="3" spans="1:4" x14ac:dyDescent="0.25">
      <c r="A3" s="46"/>
    </row>
    <row r="4" spans="1:4" x14ac:dyDescent="0.25">
      <c r="A4" s="147" t="s">
        <v>16</v>
      </c>
      <c r="B4" s="147" t="s">
        <v>19</v>
      </c>
      <c r="C4" s="147"/>
      <c r="D4" s="147"/>
    </row>
    <row r="5" spans="1:4" x14ac:dyDescent="0.25">
      <c r="A5" s="147"/>
      <c r="B5" s="147" t="s">
        <v>20</v>
      </c>
      <c r="C5" s="147" t="s">
        <v>21</v>
      </c>
      <c r="D5" s="147" t="s">
        <v>22</v>
      </c>
    </row>
    <row r="6" spans="1:4" x14ac:dyDescent="0.25">
      <c r="A6" s="147"/>
      <c r="B6" s="147"/>
      <c r="C6" s="147"/>
      <c r="D6" s="147"/>
    </row>
    <row r="7" spans="1:4" x14ac:dyDescent="0.25">
      <c r="A7" s="47">
        <v>1</v>
      </c>
      <c r="B7" s="47">
        <v>2</v>
      </c>
      <c r="C7" s="47">
        <v>3</v>
      </c>
      <c r="D7" s="47">
        <v>4</v>
      </c>
    </row>
    <row r="8" spans="1:4" ht="45.6" customHeight="1" x14ac:dyDescent="0.25">
      <c r="A8" s="48" t="s">
        <v>189</v>
      </c>
      <c r="B8" s="47">
        <f>SUM(B9:B11)</f>
        <v>124</v>
      </c>
      <c r="C8" s="47">
        <f>SUM(C9:C11)</f>
        <v>114</v>
      </c>
      <c r="D8" s="47">
        <f>C8-B8</f>
        <v>-10</v>
      </c>
    </row>
    <row r="9" spans="1:4" x14ac:dyDescent="0.25">
      <c r="A9" s="43" t="s">
        <v>161</v>
      </c>
      <c r="B9" s="54">
        <v>1</v>
      </c>
      <c r="C9" s="91">
        <v>1</v>
      </c>
      <c r="D9" s="54">
        <f t="shared" ref="D9:D27" si="0">C9-B9</f>
        <v>0</v>
      </c>
    </row>
    <row r="10" spans="1:4" x14ac:dyDescent="0.25">
      <c r="A10" s="43" t="s">
        <v>162</v>
      </c>
      <c r="B10" s="54">
        <v>23</v>
      </c>
      <c r="C10" s="91">
        <v>19</v>
      </c>
      <c r="D10" s="54">
        <f t="shared" si="0"/>
        <v>-4</v>
      </c>
    </row>
    <row r="11" spans="1:4" x14ac:dyDescent="0.25">
      <c r="A11" s="43" t="s">
        <v>163</v>
      </c>
      <c r="B11" s="54">
        <v>100</v>
      </c>
      <c r="C11" s="91">
        <v>94</v>
      </c>
      <c r="D11" s="54">
        <f t="shared" si="0"/>
        <v>-6</v>
      </c>
    </row>
    <row r="12" spans="1:4" x14ac:dyDescent="0.25">
      <c r="A12" s="48" t="s">
        <v>164</v>
      </c>
      <c r="B12" s="51">
        <f>SUM(B13:B15)</f>
        <v>3998.2</v>
      </c>
      <c r="C12" s="47">
        <f>SUM(C13:C15)</f>
        <v>4299</v>
      </c>
      <c r="D12" s="47">
        <f t="shared" si="0"/>
        <v>300.80000000000018</v>
      </c>
    </row>
    <row r="13" spans="1:4" x14ac:dyDescent="0.25">
      <c r="A13" s="43" t="s">
        <v>161</v>
      </c>
      <c r="B13" s="54">
        <v>136.5</v>
      </c>
      <c r="C13" s="49">
        <f>C21</f>
        <v>136.1</v>
      </c>
      <c r="D13" s="54">
        <f t="shared" si="0"/>
        <v>-0.40000000000000568</v>
      </c>
    </row>
    <row r="14" spans="1:4" x14ac:dyDescent="0.25">
      <c r="A14" s="43" t="s">
        <v>162</v>
      </c>
      <c r="B14" s="49">
        <f>'Таблиця 1'!C63-'Таблиця 5'!B13</f>
        <v>738.8</v>
      </c>
      <c r="C14" s="49">
        <f>C22-4.3</f>
        <v>733</v>
      </c>
      <c r="D14" s="54">
        <f t="shared" si="0"/>
        <v>-5.7999999999999545</v>
      </c>
    </row>
    <row r="15" spans="1:4" x14ac:dyDescent="0.25">
      <c r="A15" s="43" t="s">
        <v>163</v>
      </c>
      <c r="B15" s="54">
        <f>'Таблиця 1'!C34</f>
        <v>3122.9</v>
      </c>
      <c r="C15" s="49">
        <f>C23-64.3</f>
        <v>3429.9</v>
      </c>
      <c r="D15" s="54">
        <f t="shared" si="0"/>
        <v>307</v>
      </c>
    </row>
    <row r="16" spans="1:4" ht="31.5" x14ac:dyDescent="0.25">
      <c r="A16" s="48" t="s">
        <v>165</v>
      </c>
      <c r="B16" s="74"/>
      <c r="C16" s="95"/>
      <c r="D16" s="74"/>
    </row>
    <row r="17" spans="1:5" x14ac:dyDescent="0.25">
      <c r="A17" s="43" t="s">
        <v>161</v>
      </c>
      <c r="B17" s="49">
        <f t="shared" ref="B17:C19" si="1">B13/3/B9</f>
        <v>45.5</v>
      </c>
      <c r="C17" s="49">
        <f t="shared" si="1"/>
        <v>45.366666666666667</v>
      </c>
      <c r="D17" s="49">
        <f t="shared" si="0"/>
        <v>-0.13333333333333286</v>
      </c>
    </row>
    <row r="18" spans="1:5" x14ac:dyDescent="0.25">
      <c r="A18" s="43" t="s">
        <v>162</v>
      </c>
      <c r="B18" s="49">
        <f t="shared" si="1"/>
        <v>10.707246376811593</v>
      </c>
      <c r="C18" s="49">
        <f t="shared" si="1"/>
        <v>12.859649122807019</v>
      </c>
      <c r="D18" s="49">
        <f t="shared" si="0"/>
        <v>2.1524027459954258</v>
      </c>
    </row>
    <row r="19" spans="1:5" x14ac:dyDescent="0.25">
      <c r="A19" s="43" t="s">
        <v>163</v>
      </c>
      <c r="B19" s="49">
        <f t="shared" si="1"/>
        <v>10.409666666666666</v>
      </c>
      <c r="C19" s="49">
        <f t="shared" si="1"/>
        <v>12.162765957446808</v>
      </c>
      <c r="D19" s="49">
        <f t="shared" si="0"/>
        <v>1.7530992907801419</v>
      </c>
    </row>
    <row r="20" spans="1:5" x14ac:dyDescent="0.25">
      <c r="A20" s="48" t="s">
        <v>166</v>
      </c>
      <c r="B20" s="74">
        <f>SUM(B21:B23)</f>
        <v>5182.7196499999991</v>
      </c>
      <c r="C20" s="74">
        <f>SUM(C21:C23)</f>
        <v>4367.6000000000004</v>
      </c>
      <c r="D20" s="74">
        <f t="shared" si="0"/>
        <v>-815.11964999999873</v>
      </c>
    </row>
    <row r="21" spans="1:5" x14ac:dyDescent="0.25">
      <c r="A21" s="43" t="s">
        <v>161</v>
      </c>
      <c r="B21" s="49">
        <f>B13*8.41%+B13</f>
        <v>147.97964999999999</v>
      </c>
      <c r="C21" s="49">
        <v>136.1</v>
      </c>
      <c r="D21" s="49">
        <f t="shared" si="0"/>
        <v>-11.879649999999998</v>
      </c>
    </row>
    <row r="22" spans="1:5" x14ac:dyDescent="0.25">
      <c r="A22" s="43" t="s">
        <v>162</v>
      </c>
      <c r="B22" s="49">
        <f>162.54+B14</f>
        <v>901.33999999999992</v>
      </c>
      <c r="C22" s="49">
        <f>'Таблиця 1'!D63-C21</f>
        <v>737.3</v>
      </c>
      <c r="D22" s="49">
        <f t="shared" si="0"/>
        <v>-164.03999999999996</v>
      </c>
    </row>
    <row r="23" spans="1:5" x14ac:dyDescent="0.25">
      <c r="A23" s="43" t="s">
        <v>163</v>
      </c>
      <c r="B23" s="49">
        <f>1010.5+B15</f>
        <v>4133.3999999999996</v>
      </c>
      <c r="C23" s="49">
        <f>'Таблиця 1'!D34</f>
        <v>3494.2000000000003</v>
      </c>
      <c r="D23" s="49">
        <f t="shared" si="0"/>
        <v>-639.19999999999936</v>
      </c>
    </row>
    <row r="24" spans="1:5" ht="31.5" x14ac:dyDescent="0.25">
      <c r="A24" s="48" t="s">
        <v>167</v>
      </c>
      <c r="B24" s="74"/>
      <c r="C24" s="74"/>
      <c r="D24" s="74"/>
    </row>
    <row r="25" spans="1:5" x14ac:dyDescent="0.25">
      <c r="A25" s="43" t="s">
        <v>161</v>
      </c>
      <c r="B25" s="49">
        <f t="shared" ref="B25:C27" si="2">B21/3/B9</f>
        <v>49.326549999999997</v>
      </c>
      <c r="C25" s="49">
        <f t="shared" si="2"/>
        <v>45.366666666666667</v>
      </c>
      <c r="D25" s="49">
        <f t="shared" si="0"/>
        <v>-3.9598833333333303</v>
      </c>
    </row>
    <row r="26" spans="1:5" x14ac:dyDescent="0.25">
      <c r="A26" s="43" t="s">
        <v>162</v>
      </c>
      <c r="B26" s="49">
        <f t="shared" si="2"/>
        <v>13.062898550724638</v>
      </c>
      <c r="C26" s="49">
        <f t="shared" si="2"/>
        <v>12.935087719298245</v>
      </c>
      <c r="D26" s="49">
        <f t="shared" si="0"/>
        <v>-0.12781083142639282</v>
      </c>
    </row>
    <row r="27" spans="1:5" x14ac:dyDescent="0.25">
      <c r="A27" s="43" t="s">
        <v>163</v>
      </c>
      <c r="B27" s="49">
        <f t="shared" si="2"/>
        <v>13.777999999999999</v>
      </c>
      <c r="C27" s="49">
        <f t="shared" si="2"/>
        <v>12.390780141843972</v>
      </c>
      <c r="D27" s="49">
        <f t="shared" si="0"/>
        <v>-1.3872198581560262</v>
      </c>
    </row>
    <row r="28" spans="1:5" x14ac:dyDescent="0.25">
      <c r="A28" s="50"/>
    </row>
    <row r="29" spans="1:5" x14ac:dyDescent="0.25">
      <c r="A29" s="50"/>
    </row>
    <row r="30" spans="1:5" ht="16.149999999999999" customHeight="1" thickBot="1" x14ac:dyDescent="0.3">
      <c r="A30" s="38" t="s">
        <v>187</v>
      </c>
      <c r="B30" s="125" t="s">
        <v>171</v>
      </c>
      <c r="C30" s="125"/>
      <c r="D30" s="125"/>
      <c r="E30" s="75"/>
    </row>
    <row r="31" spans="1:5" x14ac:dyDescent="0.25">
      <c r="A31" s="42" t="s">
        <v>175</v>
      </c>
      <c r="B31" s="76"/>
      <c r="C31" s="146" t="s">
        <v>174</v>
      </c>
      <c r="D31" s="146"/>
      <c r="E31" s="77"/>
    </row>
    <row r="32" spans="1:5" x14ac:dyDescent="0.25">
      <c r="A32" s="50"/>
    </row>
  </sheetData>
  <mergeCells count="8">
    <mergeCell ref="C31:D31"/>
    <mergeCell ref="B30:D30"/>
    <mergeCell ref="A2:D2"/>
    <mergeCell ref="A4:A6"/>
    <mergeCell ref="B4:D4"/>
    <mergeCell ref="B5:B6"/>
    <mergeCell ref="C5:C6"/>
    <mergeCell ref="D5:D6"/>
  </mergeCells>
  <pageMargins left="0.31496062992125984" right="0.31496062992125984" top="0.35433070866141736" bottom="0.74803149606299213" header="0.31496062992125984" footer="0.31496062992125984"/>
  <pageSetup paperSize="9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5</vt:i4>
      </vt:variant>
      <vt:variant>
        <vt:lpstr>Іменовані діапазони</vt:lpstr>
      </vt:variant>
      <vt:variant>
        <vt:i4>3</vt:i4>
      </vt:variant>
    </vt:vector>
  </HeadingPairs>
  <TitlesOfParts>
    <vt:vector size="8" baseType="lpstr">
      <vt:lpstr>Таблиця 1</vt:lpstr>
      <vt:lpstr>Таблиця 2</vt:lpstr>
      <vt:lpstr>Таблиця 3</vt:lpstr>
      <vt:lpstr>Таблиця 4</vt:lpstr>
      <vt:lpstr>Таблиця 5</vt:lpstr>
      <vt:lpstr>'Таблиця 4'!bookmark4</vt:lpstr>
      <vt:lpstr>'Таблиця 1'!Область_друку</vt:lpstr>
      <vt:lpstr>'Таблиця 3'!Область_друку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2023-11-28T07:27:22Z</dcterms:modified>
</cp:coreProperties>
</file>